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ocuments\WA FOLDER\College of Micronesia-FSM-Website\VPAS\budget2017\"/>
    </mc:Choice>
  </mc:AlternateContent>
  <bookViews>
    <workbookView xWindow="0" yWindow="0" windowWidth="25200" windowHeight="11385" activeTab="3"/>
  </bookViews>
  <sheets>
    <sheet name="Variables" sheetId="13" r:id="rId1"/>
    <sheet name="Facility Fee.1" sheetId="10" state="hidden" r:id="rId2"/>
    <sheet name="StudentHealthReg(4yrs)" sheetId="9" state="hidden" r:id="rId3"/>
    <sheet name="Proj Rev " sheetId="15" r:id="rId4"/>
    <sheet name="StudentHealthReg(3YRS)" sheetId="5" state="hidden" r:id="rId5"/>
    <sheet name="Proj Exp Cons" sheetId="2" state="hidden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K13" i="15" l="1"/>
  <c r="J13" i="15"/>
  <c r="I13" i="15"/>
  <c r="E88" i="15"/>
  <c r="E89" i="15" s="1"/>
  <c r="D88" i="15"/>
  <c r="D89" i="15" s="1"/>
  <c r="C88" i="15"/>
  <c r="C89" i="15" s="1"/>
  <c r="K15" i="15"/>
  <c r="I15" i="15"/>
  <c r="J15" i="15"/>
  <c r="H14" i="15"/>
  <c r="G14" i="15"/>
  <c r="F14" i="15"/>
  <c r="H13" i="15"/>
  <c r="H15" i="15" s="1"/>
  <c r="G13" i="15"/>
  <c r="F13" i="15"/>
  <c r="F15" i="15"/>
  <c r="E14" i="15"/>
  <c r="E13" i="15"/>
  <c r="C13" i="15"/>
  <c r="C14" i="15"/>
  <c r="D14" i="15"/>
  <c r="D13" i="15"/>
  <c r="D15" i="15" s="1"/>
  <c r="E15" i="15"/>
  <c r="G15" i="15" l="1"/>
  <c r="C15" i="15"/>
  <c r="E94" i="15"/>
  <c r="E93" i="15" l="1"/>
  <c r="E32" i="15" l="1"/>
  <c r="D32" i="15"/>
  <c r="C32" i="15"/>
  <c r="E31" i="15"/>
  <c r="D31" i="15"/>
  <c r="D76" i="15" s="1"/>
  <c r="C31" i="15"/>
  <c r="C76" i="15" s="1"/>
  <c r="E30" i="15"/>
  <c r="D30" i="15"/>
  <c r="D49" i="15" s="1"/>
  <c r="D58" i="15" s="1"/>
  <c r="D66" i="15" s="1"/>
  <c r="C30" i="15"/>
  <c r="E29" i="15"/>
  <c r="E74" i="15" s="1"/>
  <c r="D29" i="15"/>
  <c r="C29" i="15"/>
  <c r="C74" i="15" s="1"/>
  <c r="E28" i="15"/>
  <c r="E73" i="15" s="1"/>
  <c r="D28" i="15"/>
  <c r="D73" i="15" s="1"/>
  <c r="C28" i="15"/>
  <c r="C73" i="15" s="1"/>
  <c r="C77" i="15"/>
  <c r="E76" i="15"/>
  <c r="F31" i="15"/>
  <c r="D74" i="15"/>
  <c r="D77" i="15"/>
  <c r="C47" i="15"/>
  <c r="L43" i="15"/>
  <c r="K43" i="15"/>
  <c r="J43" i="15"/>
  <c r="E42" i="15"/>
  <c r="D42" i="15"/>
  <c r="C42" i="15"/>
  <c r="E41" i="15"/>
  <c r="D41" i="15"/>
  <c r="C41" i="15"/>
  <c r="E40" i="15"/>
  <c r="D40" i="15"/>
  <c r="C40" i="15"/>
  <c r="E39" i="15"/>
  <c r="E43" i="15" s="1"/>
  <c r="D39" i="15"/>
  <c r="C39" i="15"/>
  <c r="E38" i="15"/>
  <c r="D38" i="15"/>
  <c r="D43" i="15" s="1"/>
  <c r="C38" i="15"/>
  <c r="C43" i="15" s="1"/>
  <c r="L33" i="15"/>
  <c r="K33" i="15"/>
  <c r="J33" i="15"/>
  <c r="M32" i="15"/>
  <c r="E77" i="15"/>
  <c r="M31" i="15"/>
  <c r="M30" i="15"/>
  <c r="E75" i="15"/>
  <c r="M29" i="15"/>
  <c r="M28" i="15"/>
  <c r="M33" i="15" l="1"/>
  <c r="C33" i="15"/>
  <c r="D50" i="15"/>
  <c r="D59" i="15" s="1"/>
  <c r="D67" i="15" s="1"/>
  <c r="E78" i="15"/>
  <c r="C48" i="15"/>
  <c r="C57" i="15" s="1"/>
  <c r="F76" i="15"/>
  <c r="F29" i="15"/>
  <c r="F30" i="15"/>
  <c r="C51" i="15"/>
  <c r="C60" i="15" s="1"/>
  <c r="C50" i="15"/>
  <c r="C59" i="15" s="1"/>
  <c r="D51" i="15"/>
  <c r="D60" i="15" s="1"/>
  <c r="D68" i="15" s="1"/>
  <c r="F73" i="15"/>
  <c r="F77" i="15"/>
  <c r="F74" i="15"/>
  <c r="C49" i="15"/>
  <c r="C56" i="15"/>
  <c r="F28" i="15"/>
  <c r="F32" i="15"/>
  <c r="E33" i="15"/>
  <c r="D48" i="15"/>
  <c r="D57" i="15" s="1"/>
  <c r="D65" i="15" s="1"/>
  <c r="D75" i="15"/>
  <c r="D78" i="15" s="1"/>
  <c r="E47" i="15"/>
  <c r="E48" i="15"/>
  <c r="E57" i="15" s="1"/>
  <c r="E65" i="15" s="1"/>
  <c r="E49" i="15"/>
  <c r="E58" i="15" s="1"/>
  <c r="E66" i="15" s="1"/>
  <c r="E50" i="15"/>
  <c r="E59" i="15" s="1"/>
  <c r="E67" i="15" s="1"/>
  <c r="E51" i="15"/>
  <c r="E60" i="15" s="1"/>
  <c r="E68" i="15" s="1"/>
  <c r="D33" i="15"/>
  <c r="C75" i="15"/>
  <c r="C78" i="15" s="1"/>
  <c r="D47" i="15"/>
  <c r="F47" i="15" s="1"/>
  <c r="F33" i="15" l="1"/>
  <c r="F49" i="15"/>
  <c r="C58" i="15"/>
  <c r="C61" i="15" s="1"/>
  <c r="C52" i="15"/>
  <c r="D52" i="15"/>
  <c r="D56" i="15"/>
  <c r="D94" i="15"/>
  <c r="F57" i="15"/>
  <c r="C65" i="15"/>
  <c r="F65" i="15" s="1"/>
  <c r="F48" i="15"/>
  <c r="F51" i="15"/>
  <c r="C94" i="15"/>
  <c r="F60" i="15"/>
  <c r="C68" i="15"/>
  <c r="F68" i="15" s="1"/>
  <c r="F59" i="15"/>
  <c r="C67" i="15"/>
  <c r="F67" i="15" s="1"/>
  <c r="F50" i="15"/>
  <c r="F75" i="15"/>
  <c r="F78" i="15" s="1"/>
  <c r="H21" i="15" s="1"/>
  <c r="E56" i="15"/>
  <c r="E52" i="15"/>
  <c r="C64" i="15"/>
  <c r="C93" i="15"/>
  <c r="C90" i="15"/>
  <c r="F52" i="15" l="1"/>
  <c r="F94" i="15"/>
  <c r="F88" i="15"/>
  <c r="E64" i="15"/>
  <c r="E69" i="15" s="1"/>
  <c r="E61" i="15"/>
  <c r="F89" i="15"/>
  <c r="D93" i="15"/>
  <c r="D95" i="15" s="1"/>
  <c r="D90" i="15"/>
  <c r="E95" i="15"/>
  <c r="E90" i="15"/>
  <c r="D61" i="15"/>
  <c r="D64" i="15"/>
  <c r="D69" i="15" s="1"/>
  <c r="F58" i="15"/>
  <c r="C66" i="15"/>
  <c r="F66" i="15" s="1"/>
  <c r="C95" i="15"/>
  <c r="F56" i="15"/>
  <c r="F90" i="15" l="1"/>
  <c r="C69" i="15"/>
  <c r="F61" i="15"/>
  <c r="F93" i="15"/>
  <c r="F95" i="15" s="1"/>
  <c r="H22" i="15" s="1"/>
  <c r="F64" i="15"/>
  <c r="F69" i="15" s="1"/>
  <c r="H20" i="15" s="1"/>
  <c r="D5" i="10"/>
  <c r="C5" i="10"/>
  <c r="B5" i="10"/>
  <c r="K5" i="10"/>
  <c r="J5" i="10"/>
  <c r="I5" i="10"/>
  <c r="H5" i="10"/>
  <c r="G5" i="10"/>
  <c r="F5" i="10"/>
  <c r="E5" i="10"/>
  <c r="J18" i="9"/>
  <c r="K28" i="9" s="1"/>
  <c r="C37" i="9" s="1"/>
  <c r="J17" i="9"/>
  <c r="J16" i="9"/>
  <c r="J15" i="9"/>
  <c r="K25" i="9" s="1"/>
  <c r="C34" i="9" s="1"/>
  <c r="J14" i="9"/>
  <c r="K24" i="9" s="1"/>
  <c r="Q18" i="5"/>
  <c r="P18" i="5"/>
  <c r="O18" i="5"/>
  <c r="N18" i="5"/>
  <c r="K18" i="5"/>
  <c r="J18" i="5"/>
  <c r="I18" i="5"/>
  <c r="H18" i="5"/>
  <c r="E18" i="5"/>
  <c r="D18" i="5"/>
  <c r="C18" i="5"/>
  <c r="R18" i="9"/>
  <c r="R17" i="9"/>
  <c r="R16" i="9"/>
  <c r="S26" i="9" s="1"/>
  <c r="D35" i="9" s="1"/>
  <c r="R15" i="9"/>
  <c r="S25" i="9" s="1"/>
  <c r="D34" i="9" s="1"/>
  <c r="R14" i="9"/>
  <c r="S24" i="9" s="1"/>
  <c r="B18" i="9"/>
  <c r="C28" i="9" s="1"/>
  <c r="B37" i="9" s="1"/>
  <c r="B17" i="9"/>
  <c r="C27" i="9" s="1"/>
  <c r="B36" i="9" s="1"/>
  <c r="B16" i="9"/>
  <c r="B15" i="9"/>
  <c r="C25" i="9" s="1"/>
  <c r="B34" i="9" s="1"/>
  <c r="B14" i="9"/>
  <c r="C24" i="9" s="1"/>
  <c r="S28" i="9"/>
  <c r="D37" i="9" s="1"/>
  <c r="K27" i="9"/>
  <c r="C36" i="9" s="1"/>
  <c r="C26" i="9"/>
  <c r="B35" i="9" s="1"/>
  <c r="W19" i="9"/>
  <c r="V19" i="9"/>
  <c r="U19" i="9"/>
  <c r="T19" i="9"/>
  <c r="S19" i="9"/>
  <c r="O19" i="9"/>
  <c r="N19" i="9"/>
  <c r="M19" i="9"/>
  <c r="L19" i="9"/>
  <c r="K19" i="9"/>
  <c r="G19" i="9"/>
  <c r="F19" i="9"/>
  <c r="E19" i="9"/>
  <c r="D19" i="9"/>
  <c r="C19" i="9"/>
  <c r="S27" i="9"/>
  <c r="D36" i="9" s="1"/>
  <c r="K26" i="9"/>
  <c r="C35" i="9" s="1"/>
  <c r="R9" i="9"/>
  <c r="J9" i="9"/>
  <c r="B9" i="9"/>
  <c r="R8" i="9"/>
  <c r="J8" i="9"/>
  <c r="B8" i="9"/>
  <c r="R7" i="9"/>
  <c r="J7" i="9"/>
  <c r="B7" i="9"/>
  <c r="R6" i="9"/>
  <c r="J6" i="9"/>
  <c r="B6" i="9"/>
  <c r="R5" i="9"/>
  <c r="J5" i="9"/>
  <c r="B5" i="9"/>
  <c r="H23" i="15" l="1"/>
  <c r="S29" i="9"/>
  <c r="E37" i="9"/>
  <c r="E34" i="9"/>
  <c r="C29" i="9"/>
  <c r="B33" i="9"/>
  <c r="E35" i="9"/>
  <c r="K29" i="9"/>
  <c r="C33" i="9"/>
  <c r="C38" i="9" s="1"/>
  <c r="E36" i="9"/>
  <c r="B19" i="9"/>
  <c r="R19" i="9"/>
  <c r="J19" i="9"/>
  <c r="D33" i="9"/>
  <c r="D38" i="9" s="1"/>
  <c r="N17" i="5"/>
  <c r="O26" i="5" s="1"/>
  <c r="H17" i="5"/>
  <c r="B17" i="5"/>
  <c r="C26" i="5" s="1"/>
  <c r="N16" i="5"/>
  <c r="O25" i="5" s="1"/>
  <c r="H16" i="5"/>
  <c r="I25" i="5" s="1"/>
  <c r="B16" i="5"/>
  <c r="N15" i="5"/>
  <c r="O24" i="5" s="1"/>
  <c r="H15" i="5"/>
  <c r="I24" i="5" s="1"/>
  <c r="B15" i="5"/>
  <c r="C24" i="5" s="1"/>
  <c r="N14" i="5"/>
  <c r="H14" i="5"/>
  <c r="I23" i="5" s="1"/>
  <c r="B14" i="5"/>
  <c r="C23" i="5" s="1"/>
  <c r="N13" i="5"/>
  <c r="O22" i="5" s="1"/>
  <c r="H13" i="5"/>
  <c r="H22" i="5" s="1"/>
  <c r="B13" i="5"/>
  <c r="N9" i="5"/>
  <c r="H9" i="5"/>
  <c r="B9" i="5"/>
  <c r="N8" i="5"/>
  <c r="H8" i="5"/>
  <c r="B8" i="5"/>
  <c r="N7" i="5"/>
  <c r="N24" i="5" s="1"/>
  <c r="H7" i="5"/>
  <c r="B7" i="5"/>
  <c r="N6" i="5"/>
  <c r="H6" i="5"/>
  <c r="H23" i="5" s="1"/>
  <c r="B6" i="5"/>
  <c r="N5" i="5"/>
  <c r="H5" i="5"/>
  <c r="B5" i="5"/>
  <c r="C22" i="5" l="1"/>
  <c r="B18" i="5"/>
  <c r="B22" i="5"/>
  <c r="B26" i="5"/>
  <c r="N22" i="5"/>
  <c r="B24" i="5"/>
  <c r="H25" i="5"/>
  <c r="N26" i="5"/>
  <c r="N23" i="5"/>
  <c r="B25" i="5"/>
  <c r="H26" i="5"/>
  <c r="E33" i="9"/>
  <c r="E38" i="9" s="1"/>
  <c r="B38" i="9"/>
  <c r="C32" i="5"/>
  <c r="B33" i="5"/>
  <c r="D35" i="5"/>
  <c r="B23" i="5"/>
  <c r="C25" i="5"/>
  <c r="B34" i="5" s="1"/>
  <c r="E34" i="5" s="1"/>
  <c r="O23" i="5"/>
  <c r="D32" i="5" s="1"/>
  <c r="H24" i="5"/>
  <c r="C33" i="5" s="1"/>
  <c r="N25" i="5"/>
  <c r="D34" i="5" s="1"/>
  <c r="B35" i="5"/>
  <c r="C35" i="5"/>
  <c r="I22" i="5"/>
  <c r="C31" i="5" s="1"/>
  <c r="I26" i="5"/>
  <c r="D33" i="5"/>
  <c r="C34" i="5"/>
  <c r="B32" i="5"/>
  <c r="O27" i="5"/>
  <c r="D31" i="5"/>
  <c r="E33" i="5"/>
  <c r="B31" i="5"/>
  <c r="C27" i="5" l="1"/>
  <c r="E35" i="5"/>
  <c r="I27" i="5"/>
  <c r="E32" i="5"/>
  <c r="D36" i="5"/>
  <c r="C36" i="5"/>
  <c r="E31" i="5"/>
  <c r="B36" i="5"/>
  <c r="K58" i="2"/>
  <c r="J58" i="2"/>
  <c r="I58" i="2"/>
  <c r="H58" i="2"/>
  <c r="G58" i="2"/>
  <c r="F58" i="2"/>
  <c r="E58" i="2"/>
  <c r="D58" i="2"/>
  <c r="C58" i="2"/>
  <c r="L57" i="2"/>
  <c r="L56" i="2"/>
  <c r="L55" i="2"/>
  <c r="L58" i="2"/>
  <c r="M58" i="2"/>
  <c r="K53" i="2"/>
  <c r="I53" i="2"/>
  <c r="H53" i="2"/>
  <c r="G53" i="2"/>
  <c r="F53" i="2"/>
  <c r="E53" i="2"/>
  <c r="D53" i="2"/>
  <c r="C53" i="2"/>
  <c r="L52" i="2"/>
  <c r="J52" i="2"/>
  <c r="L51" i="2"/>
  <c r="L50" i="2"/>
  <c r="L49" i="2"/>
  <c r="J48" i="2"/>
  <c r="L48" i="2"/>
  <c r="L47" i="2"/>
  <c r="L46" i="2"/>
  <c r="L45" i="2"/>
  <c r="L44" i="2"/>
  <c r="L43" i="2"/>
  <c r="L42" i="2"/>
  <c r="L53" i="2"/>
  <c r="M53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K27" i="2"/>
  <c r="J27" i="2"/>
  <c r="I27" i="2"/>
  <c r="H27" i="2"/>
  <c r="G27" i="2"/>
  <c r="F27" i="2"/>
  <c r="E27" i="2"/>
  <c r="D27" i="2"/>
  <c r="D59" i="2"/>
  <c r="C27" i="2"/>
  <c r="L26" i="2"/>
  <c r="L25" i="2"/>
  <c r="L24" i="2"/>
  <c r="L27" i="2"/>
  <c r="M27" i="2"/>
  <c r="K22" i="2"/>
  <c r="J22" i="2"/>
  <c r="I22" i="2"/>
  <c r="H22" i="2"/>
  <c r="G22" i="2"/>
  <c r="F22" i="2"/>
  <c r="F59" i="2"/>
  <c r="E22" i="2"/>
  <c r="D22" i="2"/>
  <c r="C22" i="2"/>
  <c r="L21" i="2"/>
  <c r="L22" i="2"/>
  <c r="M22" i="2"/>
  <c r="J21" i="2"/>
  <c r="L20" i="2"/>
  <c r="K18" i="2"/>
  <c r="K59" i="2"/>
  <c r="J18" i="2"/>
  <c r="I18" i="2"/>
  <c r="I59" i="2"/>
  <c r="H18" i="2"/>
  <c r="H59" i="2"/>
  <c r="G18" i="2"/>
  <c r="G59" i="2"/>
  <c r="F18" i="2"/>
  <c r="E18" i="2"/>
  <c r="E59" i="2"/>
  <c r="D18" i="2"/>
  <c r="C18" i="2"/>
  <c r="C59" i="2"/>
  <c r="L17" i="2"/>
  <c r="L16" i="2"/>
  <c r="L15" i="2"/>
  <c r="L14" i="2"/>
  <c r="I14" i="2"/>
  <c r="L13" i="2"/>
  <c r="L12" i="2"/>
  <c r="L11" i="2"/>
  <c r="L10" i="2"/>
  <c r="L9" i="2"/>
  <c r="L8" i="2"/>
  <c r="L18" i="2"/>
  <c r="M18" i="2"/>
  <c r="L7" i="2"/>
  <c r="L6" i="2"/>
  <c r="J53" i="2"/>
  <c r="J59" i="2"/>
  <c r="D60" i="2"/>
  <c r="H60" i="2"/>
  <c r="J60" i="2"/>
  <c r="M59" i="2"/>
  <c r="C60" i="2"/>
  <c r="I60" i="2"/>
  <c r="G60" i="2"/>
  <c r="L59" i="2"/>
  <c r="L60" i="2"/>
  <c r="E60" i="2"/>
  <c r="M60" i="2"/>
  <c r="K60" i="2"/>
  <c r="F60" i="2"/>
  <c r="E36" i="5" l="1"/>
</calcChain>
</file>

<file path=xl/sharedStrings.xml><?xml version="1.0" encoding="utf-8"?>
<sst xmlns="http://schemas.openxmlformats.org/spreadsheetml/2006/main" count="429" uniqueCount="145">
  <si>
    <t>Revised Projection II:</t>
  </si>
  <si>
    <t>Assumptions:</t>
  </si>
  <si>
    <t>3.  Tuition fee at $135 per credit</t>
  </si>
  <si>
    <t>Revision No. 1</t>
  </si>
  <si>
    <t>Tuition</t>
  </si>
  <si>
    <t>Registration/Health/Student Activity</t>
  </si>
  <si>
    <t>Facility fee</t>
  </si>
  <si>
    <t>Total</t>
  </si>
  <si>
    <t>National</t>
  </si>
  <si>
    <t>Pohnpei</t>
  </si>
  <si>
    <t>Chuuk</t>
  </si>
  <si>
    <t>Kosrae</t>
  </si>
  <si>
    <t>Yap</t>
  </si>
  <si>
    <t>Tuition, net of 7.5% D/A and Tuition Remission</t>
  </si>
  <si>
    <t>Facility Fee</t>
  </si>
  <si>
    <t>Regular Sem</t>
  </si>
  <si>
    <t>Summer</t>
  </si>
  <si>
    <t>Full time</t>
  </si>
  <si>
    <t>Part time</t>
  </si>
  <si>
    <t>College of Micronesia - FSM</t>
  </si>
  <si>
    <t>Consolidation of Expenditure Budget Per Department</t>
  </si>
  <si>
    <t>Fiscal year 2016</t>
  </si>
  <si>
    <t>OP</t>
  </si>
  <si>
    <t>IEQA</t>
  </si>
  <si>
    <t>Instructions</t>
  </si>
  <si>
    <t>Admin</t>
  </si>
  <si>
    <t>Student Services</t>
  </si>
  <si>
    <t>Salaries, filled positions</t>
  </si>
  <si>
    <t>Salaries, step increases</t>
  </si>
  <si>
    <t>Salaries, vacant</t>
  </si>
  <si>
    <t>Salaries, new positions</t>
  </si>
  <si>
    <t>SS</t>
  </si>
  <si>
    <t>Health</t>
  </si>
  <si>
    <t>Group Life</t>
  </si>
  <si>
    <t>Retirement</t>
  </si>
  <si>
    <t>Housing</t>
  </si>
  <si>
    <t>Partime/Summer faculty</t>
  </si>
  <si>
    <t>Tutoring</t>
  </si>
  <si>
    <t>Recruitment</t>
  </si>
  <si>
    <t>Travel</t>
  </si>
  <si>
    <t>Site visits</t>
  </si>
  <si>
    <t>General services</t>
  </si>
  <si>
    <t>Audit, legal, prof , consultants</t>
  </si>
  <si>
    <t>Insurance</t>
  </si>
  <si>
    <t>Supplies</t>
  </si>
  <si>
    <t>Printing</t>
  </si>
  <si>
    <t>Reference, library books</t>
  </si>
  <si>
    <t>Testing materials</t>
  </si>
  <si>
    <t>Communication</t>
  </si>
  <si>
    <t>Advertisement</t>
  </si>
  <si>
    <t>Postage</t>
  </si>
  <si>
    <t>Accreditation</t>
  </si>
  <si>
    <t>Utilities</t>
  </si>
  <si>
    <t>Fuel</t>
  </si>
  <si>
    <t>Graduation cost</t>
  </si>
  <si>
    <t>Meeting and field trips</t>
  </si>
  <si>
    <t>Support to VPCRE</t>
  </si>
  <si>
    <t>Repairs and maintenance</t>
  </si>
  <si>
    <t>Membership</t>
  </si>
  <si>
    <t>Student Activities</t>
  </si>
  <si>
    <t>Student recruitment</t>
  </si>
  <si>
    <t>Student travel</t>
  </si>
  <si>
    <t>Staff Development</t>
  </si>
  <si>
    <t>Contingency fund</t>
  </si>
  <si>
    <t>Strategic planning</t>
  </si>
  <si>
    <t>Learning community fund</t>
  </si>
  <si>
    <t>Institutional advancement</t>
  </si>
  <si>
    <t>Miscellaneous/Others</t>
  </si>
  <si>
    <t>Machineries, tools, equip</t>
  </si>
  <si>
    <t>Computer</t>
  </si>
  <si>
    <t>Furnitures</t>
  </si>
  <si>
    <t>campus</t>
  </si>
  <si>
    <t>5 year avg</t>
  </si>
  <si>
    <t>Fall 2011</t>
  </si>
  <si>
    <t>Fall 2012</t>
  </si>
  <si>
    <t>Fall 2013</t>
  </si>
  <si>
    <t>Fall 2014</t>
  </si>
  <si>
    <t>Head count</t>
  </si>
  <si>
    <t>Projected 2017</t>
  </si>
  <si>
    <t>3 year avg</t>
  </si>
  <si>
    <t>Revenue</t>
  </si>
  <si>
    <t>FALL</t>
  </si>
  <si>
    <t>SPRING</t>
  </si>
  <si>
    <t>SUMMER</t>
  </si>
  <si>
    <t>TOTAL FALL</t>
  </si>
  <si>
    <t>TOTAL SPRING</t>
  </si>
  <si>
    <t>TOTAL SUMMER</t>
  </si>
  <si>
    <t>TOTAL</t>
  </si>
  <si>
    <t>STUDENT / HEALTH / REG FEE</t>
  </si>
  <si>
    <t>FY 2017 Revenue Budget</t>
  </si>
  <si>
    <t>3 years</t>
  </si>
  <si>
    <t>4 years</t>
  </si>
  <si>
    <t>5 years</t>
  </si>
  <si>
    <t>total</t>
  </si>
  <si>
    <t>Full Time  versus Part Time</t>
  </si>
  <si>
    <t>Fall 2010</t>
  </si>
  <si>
    <t>#</t>
  </si>
  <si>
    <t>Full Time</t>
  </si>
  <si>
    <t>Part Time</t>
  </si>
  <si>
    <t xml:space="preserve">Full Time </t>
  </si>
  <si>
    <t>Full Time vs Part Time</t>
  </si>
  <si>
    <t>Spring 2011</t>
  </si>
  <si>
    <t>Spring 2012</t>
  </si>
  <si>
    <t>Spring 2013</t>
  </si>
  <si>
    <t>Spring 2014</t>
  </si>
  <si>
    <t>Spring 2015</t>
  </si>
  <si>
    <t>Full Time vs. Part Time</t>
  </si>
  <si>
    <t>Summer 2011</t>
  </si>
  <si>
    <t>Summer 2012</t>
  </si>
  <si>
    <t>Summer 2013</t>
  </si>
  <si>
    <t>Summer 2014</t>
  </si>
  <si>
    <t>Summer 2015</t>
  </si>
  <si>
    <t>Number of Students (Based on actual 2015)</t>
  </si>
  <si>
    <t>Campus</t>
  </si>
  <si>
    <t>Fall 15</t>
  </si>
  <si>
    <t>Spring 16</t>
  </si>
  <si>
    <t>Summer 16</t>
  </si>
  <si>
    <t>Tuition (Based at $135 per credit)</t>
  </si>
  <si>
    <t>Tuition at $135 per credit, gross</t>
  </si>
  <si>
    <t>Student/Health/Registration</t>
  </si>
  <si>
    <t>Spring 15</t>
  </si>
  <si>
    <t>Average Credit Per FY 2015</t>
  </si>
  <si>
    <t>Average</t>
  </si>
  <si>
    <t>Number of Credits (Based on Average Credit Per FY 2015)</t>
  </si>
  <si>
    <t>Summer 15</t>
  </si>
  <si>
    <t>Fall 14</t>
  </si>
  <si>
    <t>Head Count</t>
  </si>
  <si>
    <t>Fall</t>
  </si>
  <si>
    <t>Spring</t>
  </si>
  <si>
    <t>Projection</t>
  </si>
  <si>
    <t>2015 Actual</t>
  </si>
  <si>
    <t>Proj. 3</t>
  </si>
  <si>
    <t>HEAD COUNT</t>
  </si>
  <si>
    <t>ACUTAL</t>
  </si>
  <si>
    <t>AVERAGE CREDIT</t>
  </si>
  <si>
    <t>ACTUAL</t>
  </si>
  <si>
    <t>REVENUE VARIABLES:</t>
  </si>
  <si>
    <t>Actual Data</t>
  </si>
  <si>
    <t>1.  Number of students based on FY 2015 Actual Enrolment Headcount  plus 1% increase</t>
  </si>
  <si>
    <t>2.  Credits calclulated based on FY 2015 average credit plus 10% increase</t>
  </si>
  <si>
    <t xml:space="preserve">Summer </t>
  </si>
  <si>
    <t>2015 Actual Data</t>
  </si>
  <si>
    <t>2015 Actual Data Percentage</t>
  </si>
  <si>
    <t>4.  Facility fee  calculated based FY 2015 actual Percentage of Full Time and Part Time Students plus 20% increase in Full Time Students</t>
  </si>
  <si>
    <t>With 20%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</si>
</sst>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b/>
      <u/>
      <sz val="10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color rgb="FF006600"/>
      <name val="Arial"/>
      <family val="2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6600"/>
      <name val="Arial"/>
      <family val="2"/>
    </font>
    <font>
      <b/>
      <u/>
      <sz val="9"/>
      <name val="Arial"/>
      <family val="2"/>
    </font>
    <font>
      <b/>
      <sz val="11"/>
      <color rgb="FF0066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9" fontId="9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/>
    <xf numFmtId="0" fontId="1" fillId="0" borderId="0" xfId="7"/>
    <xf numFmtId="0" fontId="2" fillId="0" borderId="0" xfId="7" applyFont="1"/>
    <xf numFmtId="0" fontId="5" fillId="0" borderId="0" xfId="7" applyFont="1"/>
    <xf numFmtId="164" fontId="5" fillId="0" borderId="0" xfId="5" applyNumberFormat="1" applyFont="1" applyFill="1"/>
    <xf numFmtId="164" fontId="4" fillId="0" borderId="1" xfId="5" applyNumberFormat="1" applyFont="1" applyFill="1" applyBorder="1"/>
    <xf numFmtId="0" fontId="5" fillId="0" borderId="0" xfId="7" applyFont="1" applyFill="1"/>
    <xf numFmtId="0" fontId="4" fillId="0" borderId="0" xfId="7" applyFont="1" applyFill="1"/>
    <xf numFmtId="164" fontId="9" fillId="0" borderId="0" xfId="1" applyNumberFormat="1" applyFont="1"/>
    <xf numFmtId="0" fontId="10" fillId="0" borderId="0" xfId="0" applyFont="1"/>
    <xf numFmtId="164" fontId="1" fillId="0" borderId="0" xfId="1" applyNumberFormat="1" applyFont="1"/>
    <xf numFmtId="9" fontId="0" fillId="0" borderId="0" xfId="0" applyNumberFormat="1"/>
    <xf numFmtId="0" fontId="11" fillId="0" borderId="0" xfId="0" applyFont="1"/>
    <xf numFmtId="0" fontId="1" fillId="0" borderId="0" xfId="7" applyFont="1"/>
    <xf numFmtId="164" fontId="4" fillId="0" borderId="2" xfId="5" applyNumberFormat="1" applyFont="1" applyFill="1" applyBorder="1"/>
    <xf numFmtId="164" fontId="2" fillId="0" borderId="3" xfId="7" applyNumberFormat="1" applyFont="1" applyBorder="1"/>
    <xf numFmtId="0" fontId="12" fillId="0" borderId="0" xfId="7" applyFont="1"/>
    <xf numFmtId="0" fontId="0" fillId="0" borderId="0" xfId="0" applyAlignment="1">
      <alignment horizontal="center"/>
    </xf>
    <xf numFmtId="0" fontId="13" fillId="0" borderId="0" xfId="7" applyFont="1"/>
    <xf numFmtId="164" fontId="5" fillId="0" borderId="0" xfId="2" applyNumberFormat="1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2" fillId="0" borderId="0" xfId="0" applyFont="1" applyFill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0" fillId="0" borderId="0" xfId="0" applyFill="1" applyBorder="1"/>
    <xf numFmtId="0" fontId="4" fillId="0" borderId="0" xfId="0" applyFont="1" applyFill="1"/>
    <xf numFmtId="164" fontId="5" fillId="0" borderId="1" xfId="2" applyNumberFormat="1" applyFont="1" applyFill="1" applyBorder="1"/>
    <xf numFmtId="10" fontId="2" fillId="0" borderId="4" xfId="0" applyNumberFormat="1" applyFont="1" applyFill="1" applyBorder="1"/>
    <xf numFmtId="164" fontId="9" fillId="0" borderId="0" xfId="2" applyNumberFormat="1" applyFont="1" applyFill="1"/>
    <xf numFmtId="10" fontId="2" fillId="0" borderId="4" xfId="0" applyNumberFormat="1" applyFont="1" applyFill="1" applyBorder="1" applyAlignment="1">
      <alignment horizontal="center"/>
    </xf>
    <xf numFmtId="164" fontId="4" fillId="0" borderId="3" xfId="0" applyNumberFormat="1" applyFont="1" applyFill="1" applyBorder="1"/>
    <xf numFmtId="10" fontId="4" fillId="0" borderId="4" xfId="0" applyNumberFormat="1" applyFont="1" applyFill="1" applyBorder="1"/>
    <xf numFmtId="10" fontId="0" fillId="0" borderId="0" xfId="0" applyNumberFormat="1" applyFill="1"/>
    <xf numFmtId="0" fontId="14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2" borderId="0" xfId="0" applyFill="1"/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 wrapText="1"/>
    </xf>
    <xf numFmtId="164" fontId="14" fillId="2" borderId="8" xfId="1" applyNumberFormat="1" applyFont="1" applyFill="1" applyBorder="1" applyAlignment="1">
      <alignment horizontal="right" vertical="center" wrapText="1"/>
    </xf>
    <xf numFmtId="0" fontId="14" fillId="2" borderId="8" xfId="0" applyFont="1" applyFill="1" applyBorder="1" applyAlignment="1">
      <alignment horizontal="right" vertical="center" wrapText="1"/>
    </xf>
    <xf numFmtId="164" fontId="0" fillId="2" borderId="0" xfId="1" applyNumberFormat="1" applyFont="1" applyFill="1"/>
    <xf numFmtId="0" fontId="14" fillId="2" borderId="0" xfId="0" applyFont="1" applyFill="1" applyBorder="1" applyAlignment="1">
      <alignment vertical="center" wrapText="1"/>
    </xf>
    <xf numFmtId="164" fontId="14" fillId="2" borderId="6" xfId="1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/>
    <xf numFmtId="164" fontId="14" fillId="2" borderId="5" xfId="1" applyNumberFormat="1" applyFont="1" applyFill="1" applyBorder="1" applyAlignment="1">
      <alignment horizontal="right" vertical="center" wrapText="1"/>
    </xf>
    <xf numFmtId="164" fontId="0" fillId="2" borderId="4" xfId="0" applyNumberFormat="1" applyFill="1" applyBorder="1"/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164" fontId="14" fillId="0" borderId="8" xfId="1" applyNumberFormat="1" applyFont="1" applyFill="1" applyBorder="1" applyAlignment="1">
      <alignment horizontal="right" vertical="center" wrapText="1"/>
    </xf>
    <xf numFmtId="164" fontId="0" fillId="0" borderId="0" xfId="1" applyNumberFormat="1" applyFont="1" applyFill="1"/>
    <xf numFmtId="164" fontId="14" fillId="0" borderId="6" xfId="1" applyNumberFormat="1" applyFont="1" applyFill="1" applyBorder="1" applyAlignment="1">
      <alignment horizontal="center" vertical="center"/>
    </xf>
    <xf numFmtId="164" fontId="14" fillId="0" borderId="5" xfId="1" applyNumberFormat="1" applyFont="1" applyFill="1" applyBorder="1" applyAlignment="1">
      <alignment horizontal="right" vertical="center" wrapText="1"/>
    </xf>
    <xf numFmtId="0" fontId="0" fillId="3" borderId="0" xfId="0" applyFill="1"/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 wrapText="1"/>
    </xf>
    <xf numFmtId="164" fontId="14" fillId="3" borderId="8" xfId="1" applyNumberFormat="1" applyFont="1" applyFill="1" applyBorder="1" applyAlignment="1">
      <alignment horizontal="right" vertical="center" wrapText="1"/>
    </xf>
    <xf numFmtId="0" fontId="14" fillId="3" borderId="8" xfId="0" applyFont="1" applyFill="1" applyBorder="1" applyAlignment="1">
      <alignment horizontal="right" vertical="center" wrapText="1"/>
    </xf>
    <xf numFmtId="164" fontId="0" fillId="3" borderId="0" xfId="1" applyNumberFormat="1" applyFont="1" applyFill="1"/>
    <xf numFmtId="0" fontId="14" fillId="3" borderId="0" xfId="0" applyFont="1" applyFill="1" applyBorder="1" applyAlignment="1">
      <alignment vertical="center" wrapText="1"/>
    </xf>
    <xf numFmtId="164" fontId="14" fillId="3" borderId="6" xfId="1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4" fontId="14" fillId="3" borderId="5" xfId="1" applyNumberFormat="1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right" vertical="center" wrapText="1"/>
    </xf>
    <xf numFmtId="164" fontId="0" fillId="3" borderId="4" xfId="0" applyNumberFormat="1" applyFill="1" applyBorder="1"/>
    <xf numFmtId="0" fontId="0" fillId="3" borderId="0" xfId="0" applyFill="1" applyBorder="1"/>
    <xf numFmtId="164" fontId="0" fillId="0" borderId="0" xfId="0" applyNumberFormat="1"/>
    <xf numFmtId="0" fontId="0" fillId="4" borderId="0" xfId="0" applyFill="1"/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vertical="center" wrapText="1"/>
    </xf>
    <xf numFmtId="164" fontId="14" fillId="4" borderId="8" xfId="1" applyNumberFormat="1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right" vertical="center" wrapText="1"/>
    </xf>
    <xf numFmtId="164" fontId="0" fillId="4" borderId="0" xfId="1" applyNumberFormat="1" applyFont="1" applyFill="1"/>
    <xf numFmtId="0" fontId="14" fillId="4" borderId="0" xfId="0" applyFont="1" applyFill="1" applyBorder="1" applyAlignment="1">
      <alignment vertical="center" wrapText="1"/>
    </xf>
    <xf numFmtId="164" fontId="14" fillId="4" borderId="6" xfId="1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164" fontId="14" fillId="4" borderId="5" xfId="1" applyNumberFormat="1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0" fillId="4" borderId="4" xfId="0" applyNumberFormat="1" applyFill="1" applyBorder="1"/>
    <xf numFmtId="0" fontId="0" fillId="4" borderId="0" xfId="0" applyFill="1" applyBorder="1"/>
    <xf numFmtId="0" fontId="14" fillId="0" borderId="0" xfId="0" applyFont="1" applyFill="1" applyBorder="1" applyAlignment="1">
      <alignment horizontal="center" vertical="center"/>
    </xf>
    <xf numFmtId="164" fontId="14" fillId="0" borderId="0" xfId="1" applyNumberFormat="1" applyFont="1" applyFill="1" applyBorder="1" applyAlignment="1">
      <alignment horizontal="right" vertical="center" wrapText="1"/>
    </xf>
    <xf numFmtId="164" fontId="14" fillId="3" borderId="0" xfId="1" applyNumberFormat="1" applyFont="1" applyFill="1" applyBorder="1" applyAlignment="1">
      <alignment horizontal="center" vertical="center"/>
    </xf>
    <xf numFmtId="164" fontId="14" fillId="3" borderId="0" xfId="1" applyNumberFormat="1" applyFont="1" applyFill="1" applyBorder="1" applyAlignment="1">
      <alignment horizontal="right" vertical="center" wrapText="1"/>
    </xf>
    <xf numFmtId="164" fontId="0" fillId="3" borderId="0" xfId="0" applyNumberFormat="1" applyFill="1" applyBorder="1"/>
    <xf numFmtId="164" fontId="14" fillId="4" borderId="0" xfId="1" applyNumberFormat="1" applyFont="1" applyFill="1" applyBorder="1" applyAlignment="1">
      <alignment horizontal="center" vertical="center"/>
    </xf>
    <xf numFmtId="164" fontId="14" fillId="4" borderId="0" xfId="1" applyNumberFormat="1" applyFont="1" applyFill="1" applyBorder="1" applyAlignment="1">
      <alignment horizontal="right" vertical="center" wrapText="1"/>
    </xf>
    <xf numFmtId="164" fontId="0" fillId="4" borderId="0" xfId="0" applyNumberFormat="1" applyFill="1" applyBorder="1"/>
    <xf numFmtId="164" fontId="14" fillId="2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right" vertical="center" wrapText="1"/>
    </xf>
    <xf numFmtId="0" fontId="15" fillId="0" borderId="0" xfId="0" applyFont="1"/>
    <xf numFmtId="0" fontId="1" fillId="0" borderId="0" xfId="7" applyBorder="1"/>
    <xf numFmtId="0" fontId="16" fillId="0" borderId="0" xfId="7" applyFont="1" applyFill="1"/>
    <xf numFmtId="0" fontId="16" fillId="0" borderId="0" xfId="7" applyFont="1"/>
    <xf numFmtId="0" fontId="16" fillId="0" borderId="0" xfId="7" applyFont="1" applyBorder="1"/>
    <xf numFmtId="0" fontId="2" fillId="0" borderId="0" xfId="7" applyFont="1" applyAlignment="1">
      <alignment horizontal="center"/>
    </xf>
    <xf numFmtId="0" fontId="3" fillId="0" borderId="10" xfId="7" applyFont="1" applyBorder="1" applyAlignment="1">
      <alignment horizontal="center"/>
    </xf>
    <xf numFmtId="0" fontId="17" fillId="0" borderId="0" xfId="7" applyFont="1" applyFill="1"/>
    <xf numFmtId="0" fontId="1" fillId="0" borderId="0" xfId="7" applyFill="1"/>
    <xf numFmtId="165" fontId="5" fillId="0" borderId="0" xfId="5" applyNumberFormat="1" applyFont="1" applyFill="1"/>
    <xf numFmtId="0" fontId="18" fillId="0" borderId="0" xfId="0" applyFont="1"/>
    <xf numFmtId="165" fontId="5" fillId="0" borderId="0" xfId="5" applyNumberFormat="1" applyFont="1" applyFill="1" applyBorder="1"/>
    <xf numFmtId="165" fontId="4" fillId="0" borderId="1" xfId="5" applyNumberFormat="1" applyFont="1" applyFill="1" applyBorder="1"/>
    <xf numFmtId="0" fontId="19" fillId="0" borderId="0" xfId="0" applyFont="1"/>
    <xf numFmtId="0" fontId="0" fillId="0" borderId="0" xfId="0" applyBorder="1" applyAlignment="1">
      <alignment horizontal="center"/>
    </xf>
    <xf numFmtId="164" fontId="2" fillId="0" borderId="0" xfId="7" applyNumberFormat="1" applyFont="1" applyBorder="1"/>
    <xf numFmtId="0" fontId="0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0" xfId="5" applyNumberFormat="1" applyFont="1" applyFill="1" applyBorder="1"/>
    <xf numFmtId="0" fontId="0" fillId="0" borderId="10" xfId="0" applyBorder="1"/>
    <xf numFmtId="0" fontId="1" fillId="0" borderId="9" xfId="7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/>
    <xf numFmtId="1" fontId="0" fillId="0" borderId="0" xfId="0" applyNumberFormat="1"/>
    <xf numFmtId="43" fontId="0" fillId="0" borderId="0" xfId="1" applyFont="1"/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1" fontId="0" fillId="0" borderId="16" xfId="0" applyNumberFormat="1" applyBorder="1"/>
    <xf numFmtId="1" fontId="0" fillId="0" borderId="0" xfId="0" applyNumberFormat="1" applyBorder="1"/>
    <xf numFmtId="1" fontId="0" fillId="0" borderId="17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8" xfId="0" applyNumberFormat="1" applyBorder="1"/>
    <xf numFmtId="43" fontId="0" fillId="0" borderId="16" xfId="0" applyNumberFormat="1" applyBorder="1"/>
    <xf numFmtId="43" fontId="0" fillId="0" borderId="0" xfId="0" applyNumberFormat="1" applyBorder="1"/>
    <xf numFmtId="43" fontId="0" fillId="0" borderId="17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8" xfId="0" applyNumberFormat="1" applyBorder="1"/>
    <xf numFmtId="43" fontId="0" fillId="0" borderId="16" xfId="1" applyFont="1" applyBorder="1"/>
    <xf numFmtId="43" fontId="0" fillId="0" borderId="0" xfId="1" applyFont="1" applyBorder="1"/>
    <xf numFmtId="43" fontId="0" fillId="0" borderId="17" xfId="1" applyFont="1" applyBorder="1"/>
    <xf numFmtId="43" fontId="0" fillId="0" borderId="11" xfId="1" applyFont="1" applyBorder="1"/>
    <xf numFmtId="43" fontId="0" fillId="0" borderId="12" xfId="1" applyFont="1" applyBorder="1"/>
    <xf numFmtId="43" fontId="0" fillId="0" borderId="8" xfId="1" applyFont="1" applyBorder="1"/>
    <xf numFmtId="43" fontId="5" fillId="0" borderId="0" xfId="5" applyNumberFormat="1" applyFont="1" applyFill="1"/>
    <xf numFmtId="164" fontId="4" fillId="0" borderId="18" xfId="5" applyNumberFormat="1" applyFont="1" applyFill="1" applyBorder="1"/>
    <xf numFmtId="164" fontId="4" fillId="0" borderId="19" xfId="5" applyNumberFormat="1" applyFont="1" applyFill="1" applyBorder="1"/>
    <xf numFmtId="9" fontId="0" fillId="0" borderId="16" xfId="9" applyFont="1" applyBorder="1"/>
    <xf numFmtId="9" fontId="0" fillId="0" borderId="0" xfId="9" applyFont="1" applyBorder="1"/>
    <xf numFmtId="9" fontId="0" fillId="0" borderId="17" xfId="9" applyFont="1" applyBorder="1"/>
    <xf numFmtId="9" fontId="4" fillId="0" borderId="18" xfId="9" applyFont="1" applyFill="1" applyBorder="1"/>
    <xf numFmtId="9" fontId="4" fillId="0" borderId="2" xfId="9" applyFont="1" applyFill="1" applyBorder="1"/>
    <xf numFmtId="9" fontId="4" fillId="0" borderId="19" xfId="9" applyFont="1" applyFill="1" applyBorder="1"/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</cellXfs>
  <cellStyles count="10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3" xfId="7"/>
    <cellStyle name="Normal 4" xfId="8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Head</a:t>
            </a:r>
            <a:r>
              <a:rPr lang="en-US" baseline="0"/>
              <a:t> Count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Variables!$A$6:$B$6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Variables!$C$5:$L$5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5 years</c:v>
                </c:pt>
                <c:pt idx="6">
                  <c:v>4 years</c:v>
                </c:pt>
                <c:pt idx="7">
                  <c:v>3 years</c:v>
                </c:pt>
                <c:pt idx="8">
                  <c:v>2015 Actual</c:v>
                </c:pt>
                <c:pt idx="9">
                  <c:v>Proj. 3</c:v>
                </c:pt>
              </c:strCache>
            </c:strRef>
          </c:cat>
          <c:val>
            <c:numRef>
              <c:f>Variables!$C$6:$L$6</c:f>
              <c:numCache>
                <c:formatCode>General</c:formatCode>
                <c:ptCount val="10"/>
              </c:numCache>
            </c:numRef>
          </c:val>
          <c:smooth val="0"/>
        </c:ser>
        <c:ser>
          <c:idx val="1"/>
          <c:order val="1"/>
          <c:tx>
            <c:strRef>
              <c:f>Variables!$A$7:$B$7</c:f>
              <c:strCache>
                <c:ptCount val="2"/>
                <c:pt idx="0">
                  <c:v>Fall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Variables!$C$5:$L$5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5 years</c:v>
                </c:pt>
                <c:pt idx="6">
                  <c:v>4 years</c:v>
                </c:pt>
                <c:pt idx="7">
                  <c:v>3 years</c:v>
                </c:pt>
                <c:pt idx="8">
                  <c:v>2015 Actual</c:v>
                </c:pt>
                <c:pt idx="9">
                  <c:v>Proj. 3</c:v>
                </c:pt>
              </c:strCache>
            </c:strRef>
          </c:cat>
          <c:val>
            <c:numRef>
              <c:f>Variables!$C$7:$L$7</c:f>
              <c:numCache>
                <c:formatCode>General</c:formatCode>
                <c:ptCount val="10"/>
                <c:pt idx="0">
                  <c:v>2913</c:v>
                </c:pt>
                <c:pt idx="1">
                  <c:v>2744</c:v>
                </c:pt>
                <c:pt idx="2">
                  <c:v>2444</c:v>
                </c:pt>
                <c:pt idx="3">
                  <c:v>2344</c:v>
                </c:pt>
                <c:pt idx="4">
                  <c:v>2224</c:v>
                </c:pt>
                <c:pt idx="5" formatCode="0">
                  <c:v>2533.8000000000002</c:v>
                </c:pt>
                <c:pt idx="6" formatCode="0">
                  <c:v>2439</c:v>
                </c:pt>
                <c:pt idx="7" formatCode="0">
                  <c:v>2337.3333333333335</c:v>
                </c:pt>
                <c:pt idx="8" formatCode="0">
                  <c:v>2224</c:v>
                </c:pt>
                <c:pt idx="9" formatCode="0">
                  <c:v>2344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Variables!$A$8:$B$8</c:f>
              <c:strCache>
                <c:ptCount val="2"/>
                <c:pt idx="0">
                  <c:v>Spring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Variables!$C$5:$L$5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5 years</c:v>
                </c:pt>
                <c:pt idx="6">
                  <c:v>4 years</c:v>
                </c:pt>
                <c:pt idx="7">
                  <c:v>3 years</c:v>
                </c:pt>
                <c:pt idx="8">
                  <c:v>2015 Actual</c:v>
                </c:pt>
                <c:pt idx="9">
                  <c:v>Proj. 3</c:v>
                </c:pt>
              </c:strCache>
            </c:strRef>
          </c:cat>
          <c:val>
            <c:numRef>
              <c:f>Variables!$C$8:$L$8</c:f>
              <c:numCache>
                <c:formatCode>General</c:formatCode>
                <c:ptCount val="10"/>
                <c:pt idx="0">
                  <c:v>2397</c:v>
                </c:pt>
                <c:pt idx="1">
                  <c:v>2543</c:v>
                </c:pt>
                <c:pt idx="2">
                  <c:v>2337</c:v>
                </c:pt>
                <c:pt idx="3">
                  <c:v>2094</c:v>
                </c:pt>
                <c:pt idx="4">
                  <c:v>2099</c:v>
                </c:pt>
                <c:pt idx="5" formatCode="0">
                  <c:v>2294</c:v>
                </c:pt>
                <c:pt idx="6" formatCode="0">
                  <c:v>2268.25</c:v>
                </c:pt>
                <c:pt idx="7" formatCode="0">
                  <c:v>2176.6666666666665</c:v>
                </c:pt>
                <c:pt idx="8" formatCode="0">
                  <c:v>2099</c:v>
                </c:pt>
                <c:pt idx="9" formatCode="0">
                  <c:v>2099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Variables!$A$9:$B$9</c:f>
              <c:strCache>
                <c:ptCount val="2"/>
                <c:pt idx="0">
                  <c:v>Summer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Variables!$C$5:$L$5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5 years</c:v>
                </c:pt>
                <c:pt idx="6">
                  <c:v>4 years</c:v>
                </c:pt>
                <c:pt idx="7">
                  <c:v>3 years</c:v>
                </c:pt>
                <c:pt idx="8">
                  <c:v>2015 Actual</c:v>
                </c:pt>
                <c:pt idx="9">
                  <c:v>Proj. 3</c:v>
                </c:pt>
              </c:strCache>
            </c:strRef>
          </c:cat>
          <c:val>
            <c:numRef>
              <c:f>Variables!$C$9:$L$9</c:f>
              <c:numCache>
                <c:formatCode>General</c:formatCode>
                <c:ptCount val="10"/>
                <c:pt idx="0">
                  <c:v>2109</c:v>
                </c:pt>
                <c:pt idx="1">
                  <c:v>1275</c:v>
                </c:pt>
                <c:pt idx="2">
                  <c:v>1220</c:v>
                </c:pt>
                <c:pt idx="3">
                  <c:v>998</c:v>
                </c:pt>
                <c:pt idx="4">
                  <c:v>1081</c:v>
                </c:pt>
                <c:pt idx="5" formatCode="0">
                  <c:v>1336.6000000000001</c:v>
                </c:pt>
                <c:pt idx="6" formatCode="0">
                  <c:v>1143.5</c:v>
                </c:pt>
                <c:pt idx="7" formatCode="0">
                  <c:v>1099.6666666666665</c:v>
                </c:pt>
                <c:pt idx="8" formatCode="0">
                  <c:v>1081</c:v>
                </c:pt>
                <c:pt idx="9" formatCode="0">
                  <c:v>1081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543408"/>
        <c:axId val="171543968"/>
      </c:lineChart>
      <c:catAx>
        <c:axId val="17154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43968"/>
        <c:crosses val="autoZero"/>
        <c:auto val="1"/>
        <c:lblAlgn val="ctr"/>
        <c:lblOffset val="100"/>
        <c:noMultiLvlLbl val="0"/>
      </c:catAx>
      <c:valAx>
        <c:axId val="17154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4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Credit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Variables!$A$14:$B$14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Variables!$C$13:$L$13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5 years</c:v>
                </c:pt>
                <c:pt idx="6">
                  <c:v>4 years</c:v>
                </c:pt>
                <c:pt idx="7">
                  <c:v>3 years</c:v>
                </c:pt>
                <c:pt idx="8">
                  <c:v>2015 Actual</c:v>
                </c:pt>
                <c:pt idx="9">
                  <c:v>Proj. 3</c:v>
                </c:pt>
              </c:strCache>
            </c:strRef>
          </c:cat>
          <c:val>
            <c:numRef>
              <c:f>Variables!$C$14:$L$14</c:f>
              <c:numCache>
                <c:formatCode>General</c:formatCode>
                <c:ptCount val="10"/>
              </c:numCache>
            </c:numRef>
          </c:val>
          <c:smooth val="0"/>
        </c:ser>
        <c:ser>
          <c:idx val="1"/>
          <c:order val="1"/>
          <c:tx>
            <c:strRef>
              <c:f>Variables!$A$15:$B$15</c:f>
              <c:strCache>
                <c:ptCount val="2"/>
                <c:pt idx="0">
                  <c:v>Fall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Variables!$C$13:$L$13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5 years</c:v>
                </c:pt>
                <c:pt idx="6">
                  <c:v>4 years</c:v>
                </c:pt>
                <c:pt idx="7">
                  <c:v>3 years</c:v>
                </c:pt>
                <c:pt idx="8">
                  <c:v>2015 Actual</c:v>
                </c:pt>
                <c:pt idx="9">
                  <c:v>Proj. 3</c:v>
                </c:pt>
              </c:strCache>
            </c:strRef>
          </c:cat>
          <c:val>
            <c:numRef>
              <c:f>Variables!$C$15:$L$15</c:f>
              <c:numCache>
                <c:formatCode>_(* #,##0.00_);_(* \(#,##0.00\);_(* "-"??_);_(@_)</c:formatCode>
                <c:ptCount val="10"/>
                <c:pt idx="0">
                  <c:v>11.620000000000001</c:v>
                </c:pt>
                <c:pt idx="1">
                  <c:v>11.079999999999998</c:v>
                </c:pt>
                <c:pt idx="2">
                  <c:v>11.120000000000001</c:v>
                </c:pt>
                <c:pt idx="3">
                  <c:v>11.34</c:v>
                </c:pt>
                <c:pt idx="4">
                  <c:v>10.780000000000001</c:v>
                </c:pt>
                <c:pt idx="5">
                  <c:v>11.187999999999999</c:v>
                </c:pt>
                <c:pt idx="6">
                  <c:v>10.824999999999999</c:v>
                </c:pt>
                <c:pt idx="7">
                  <c:v>10.866666666666667</c:v>
                </c:pt>
                <c:pt idx="8">
                  <c:v>10.78</c:v>
                </c:pt>
                <c:pt idx="9">
                  <c:v>11.858000000000001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Variables!$A$16:$B$16</c:f>
              <c:strCache>
                <c:ptCount val="2"/>
                <c:pt idx="0">
                  <c:v>Spring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Variables!$C$13:$L$13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5 years</c:v>
                </c:pt>
                <c:pt idx="6">
                  <c:v>4 years</c:v>
                </c:pt>
                <c:pt idx="7">
                  <c:v>3 years</c:v>
                </c:pt>
                <c:pt idx="8">
                  <c:v>2015 Actual</c:v>
                </c:pt>
                <c:pt idx="9">
                  <c:v>Proj. 3</c:v>
                </c:pt>
              </c:strCache>
            </c:strRef>
          </c:cat>
          <c:val>
            <c:numRef>
              <c:f>Variables!$C$16:$L$16</c:f>
              <c:numCache>
                <c:formatCode>_(* #,##0.00_);_(* \(#,##0.00\);_(* "-"??_);_(@_)</c:formatCode>
                <c:ptCount val="10"/>
                <c:pt idx="0">
                  <c:v>11.66</c:v>
                </c:pt>
                <c:pt idx="1">
                  <c:v>11.28</c:v>
                </c:pt>
                <c:pt idx="2">
                  <c:v>10.860000000000001</c:v>
                </c:pt>
                <c:pt idx="3">
                  <c:v>11</c:v>
                </c:pt>
                <c:pt idx="4">
                  <c:v>10.959999999999999</c:v>
                </c:pt>
                <c:pt idx="5">
                  <c:v>11.152000000000001</c:v>
                </c:pt>
                <c:pt idx="6">
                  <c:v>10.925000000000001</c:v>
                </c:pt>
                <c:pt idx="7">
                  <c:v>10.933333333333332</c:v>
                </c:pt>
                <c:pt idx="8">
                  <c:v>10.959999999999999</c:v>
                </c:pt>
                <c:pt idx="9">
                  <c:v>12.056000000000001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Variables!$A$17:$B$17</c:f>
              <c:strCache>
                <c:ptCount val="2"/>
                <c:pt idx="0">
                  <c:v>Summer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Variables!$C$13:$L$13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5 years</c:v>
                </c:pt>
                <c:pt idx="6">
                  <c:v>4 years</c:v>
                </c:pt>
                <c:pt idx="7">
                  <c:v>3 years</c:v>
                </c:pt>
                <c:pt idx="8">
                  <c:v>2015 Actual</c:v>
                </c:pt>
                <c:pt idx="9">
                  <c:v>Proj. 3</c:v>
                </c:pt>
              </c:strCache>
            </c:strRef>
          </c:cat>
          <c:val>
            <c:numRef>
              <c:f>Variables!$C$17:$L$17</c:f>
              <c:numCache>
                <c:formatCode>_(* #,##0.00_);_(* \(#,##0.00\);_(* "-"??_);_(@_)</c:formatCode>
                <c:ptCount val="10"/>
                <c:pt idx="0">
                  <c:v>5.5400000000000009</c:v>
                </c:pt>
                <c:pt idx="1">
                  <c:v>5.2799999999999994</c:v>
                </c:pt>
                <c:pt idx="2">
                  <c:v>5.2799999999999994</c:v>
                </c:pt>
                <c:pt idx="3">
                  <c:v>5.22</c:v>
                </c:pt>
                <c:pt idx="4">
                  <c:v>5.1800000000000006</c:v>
                </c:pt>
                <c:pt idx="5">
                  <c:v>5.3</c:v>
                </c:pt>
                <c:pt idx="6">
                  <c:v>5</c:v>
                </c:pt>
                <c:pt idx="7">
                  <c:v>5.0333333333333341</c:v>
                </c:pt>
                <c:pt idx="8">
                  <c:v>5.1800000000000006</c:v>
                </c:pt>
                <c:pt idx="9">
                  <c:v>5.6980000000000004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9917984"/>
        <c:axId val="259918544"/>
      </c:lineChart>
      <c:catAx>
        <c:axId val="25991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918544"/>
        <c:crosses val="autoZero"/>
        <c:auto val="1"/>
        <c:lblAlgn val="ctr"/>
        <c:lblOffset val="100"/>
        <c:noMultiLvlLbl val="0"/>
      </c:catAx>
      <c:valAx>
        <c:axId val="25991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91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18</xdr:row>
      <xdr:rowOff>166687</xdr:rowOff>
    </xdr:from>
    <xdr:to>
      <xdr:col>10</xdr:col>
      <xdr:colOff>628650</xdr:colOff>
      <xdr:row>33</xdr:row>
      <xdr:rowOff>52387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171449</xdr:colOff>
      <xdr:row>18</xdr:row>
      <xdr:rowOff>109537</xdr:rowOff>
    </xdr:from>
    <xdr:to>
      <xdr:col>21</xdr:col>
      <xdr:colOff>123824</xdr:colOff>
      <xdr:row>32</xdr:row>
      <xdr:rowOff>185737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%20-2015/2017%20Budget%20Process/2017%20Rev/FY17%20Rev%20(Sep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v"/>
      <sheetName val="Variables"/>
      <sheetName val="Facility Fee.1"/>
      <sheetName val="Tuition (5years)"/>
      <sheetName val="Tuition (4years)"/>
      <sheetName val="StudentHealthReg(4yrs)"/>
      <sheetName val="Tuition(3yrs)"/>
      <sheetName val="Facility Fee"/>
      <sheetName val="StudentHealthReg"/>
      <sheetName val="Proj Rev (2)"/>
      <sheetName val="Proj Rev (3)"/>
      <sheetName val="Proj Rev (4)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3">
          <cell r="F33">
            <v>1605</v>
          </cell>
          <cell r="O33">
            <v>1375</v>
          </cell>
          <cell r="W33">
            <v>611</v>
          </cell>
        </row>
        <row r="34">
          <cell r="F34">
            <v>739</v>
          </cell>
          <cell r="O34">
            <v>724</v>
          </cell>
          <cell r="W34">
            <v>470</v>
          </cell>
        </row>
        <row r="37">
          <cell r="X37">
            <v>0.37826086956521743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10" workbookViewId="0"/>
  </sheetViews>
  <sheetFormatPr defaultRowHeight="15" x14ac:dyDescent="0.25"/>
  <cols>
    <col min="2" max="2" width="9.140625" style="1"/>
    <col min="11" max="11" width="10.42578125" customWidth="1"/>
  </cols>
  <sheetData>
    <row r="1" spans="1:15" x14ac:dyDescent="0.25">
      <c r="A1" s="10" t="s">
        <v>136</v>
      </c>
    </row>
    <row r="2" spans="1:15" s="1" customFormat="1" ht="15.75" thickBot="1" x14ac:dyDescent="0.3"/>
    <row r="3" spans="1:15" ht="15.75" thickBot="1" x14ac:dyDescent="0.3">
      <c r="C3" s="159" t="s">
        <v>132</v>
      </c>
      <c r="D3" s="160"/>
      <c r="E3" s="160"/>
      <c r="F3" s="160"/>
      <c r="G3" s="160"/>
      <c r="H3" s="160"/>
      <c r="I3" s="160"/>
      <c r="J3" s="160"/>
      <c r="K3" s="160"/>
      <c r="L3" s="161"/>
    </row>
    <row r="4" spans="1:15" ht="15.75" thickBot="1" x14ac:dyDescent="0.3">
      <c r="C4" s="162" t="s">
        <v>133</v>
      </c>
      <c r="D4" s="163"/>
      <c r="E4" s="163"/>
      <c r="F4" s="163"/>
      <c r="G4" s="164"/>
      <c r="H4" s="162" t="s">
        <v>129</v>
      </c>
      <c r="I4" s="163"/>
      <c r="J4" s="163"/>
      <c r="K4" s="163"/>
      <c r="L4" s="164"/>
    </row>
    <row r="5" spans="1:15" ht="15.75" thickBot="1" x14ac:dyDescent="0.3">
      <c r="C5" s="115">
        <v>2011</v>
      </c>
      <c r="D5" s="118">
        <v>2012</v>
      </c>
      <c r="E5" s="116">
        <v>2013</v>
      </c>
      <c r="F5" s="118">
        <v>2014</v>
      </c>
      <c r="G5" s="117">
        <v>2015</v>
      </c>
      <c r="H5" s="123" t="s">
        <v>92</v>
      </c>
      <c r="I5" s="123" t="s">
        <v>91</v>
      </c>
      <c r="J5" s="123" t="s">
        <v>90</v>
      </c>
      <c r="K5" s="123" t="s">
        <v>130</v>
      </c>
      <c r="L5" s="123" t="s">
        <v>131</v>
      </c>
      <c r="N5" s="12"/>
      <c r="O5" s="12"/>
    </row>
    <row r="6" spans="1:15" s="1" customFormat="1" ht="8.25" customHeight="1" x14ac:dyDescent="0.25">
      <c r="C6" s="122"/>
      <c r="D6" s="112"/>
      <c r="E6" s="112"/>
      <c r="F6" s="112"/>
      <c r="G6" s="126"/>
      <c r="H6" s="127"/>
      <c r="I6" s="37"/>
      <c r="J6" s="37"/>
      <c r="K6" s="37"/>
      <c r="L6" s="128"/>
    </row>
    <row r="7" spans="1:15" x14ac:dyDescent="0.25">
      <c r="A7" s="1" t="s">
        <v>127</v>
      </c>
      <c r="C7" s="127">
        <v>2913</v>
      </c>
      <c r="D7" s="37">
        <v>2744</v>
      </c>
      <c r="E7" s="37">
        <v>2444</v>
      </c>
      <c r="F7" s="37">
        <v>2344</v>
      </c>
      <c r="G7" s="128">
        <v>2224</v>
      </c>
      <c r="H7" s="132">
        <v>2533.8000000000002</v>
      </c>
      <c r="I7" s="133">
        <v>2439</v>
      </c>
      <c r="J7" s="133">
        <v>2337.3333333333335</v>
      </c>
      <c r="K7" s="133">
        <v>2224</v>
      </c>
      <c r="L7" s="134">
        <v>2344</v>
      </c>
      <c r="N7" s="124"/>
      <c r="O7" s="124"/>
    </row>
    <row r="8" spans="1:15" s="1" customFormat="1" x14ac:dyDescent="0.25">
      <c r="A8" s="1" t="s">
        <v>128</v>
      </c>
      <c r="C8" s="127">
        <v>2397</v>
      </c>
      <c r="D8" s="37">
        <v>2543</v>
      </c>
      <c r="E8" s="37">
        <v>2337</v>
      </c>
      <c r="F8" s="37">
        <v>2094</v>
      </c>
      <c r="G8" s="128">
        <v>2099</v>
      </c>
      <c r="H8" s="132">
        <v>2294</v>
      </c>
      <c r="I8" s="133">
        <v>2268.25</v>
      </c>
      <c r="J8" s="133">
        <v>2176.6666666666665</v>
      </c>
      <c r="K8" s="133">
        <v>2099</v>
      </c>
      <c r="L8" s="134">
        <v>2099</v>
      </c>
      <c r="N8" s="124"/>
      <c r="O8" s="124"/>
    </row>
    <row r="9" spans="1:15" s="1" customFormat="1" ht="15.75" thickBot="1" x14ac:dyDescent="0.3">
      <c r="A9" s="1" t="s">
        <v>16</v>
      </c>
      <c r="C9" s="129">
        <v>2109</v>
      </c>
      <c r="D9" s="130">
        <v>1275</v>
      </c>
      <c r="E9" s="130">
        <v>1220</v>
      </c>
      <c r="F9" s="130">
        <v>998</v>
      </c>
      <c r="G9" s="131">
        <v>1081</v>
      </c>
      <c r="H9" s="135">
        <v>1336.6000000000001</v>
      </c>
      <c r="I9" s="136">
        <v>1143.5</v>
      </c>
      <c r="J9" s="136">
        <v>1099.6666666666665</v>
      </c>
      <c r="K9" s="136">
        <v>1081</v>
      </c>
      <c r="L9" s="137">
        <v>1081</v>
      </c>
      <c r="N9" s="124"/>
      <c r="O9" s="124"/>
    </row>
    <row r="10" spans="1:15" s="1" customFormat="1" ht="15.75" thickBot="1" x14ac:dyDescent="0.3">
      <c r="H10" s="124"/>
      <c r="I10" s="124"/>
      <c r="J10" s="124"/>
      <c r="K10" s="124"/>
      <c r="L10" s="124"/>
    </row>
    <row r="11" spans="1:15" s="1" customFormat="1" ht="15.75" thickBot="1" x14ac:dyDescent="0.3">
      <c r="C11" s="159" t="s">
        <v>134</v>
      </c>
      <c r="D11" s="160"/>
      <c r="E11" s="160"/>
      <c r="F11" s="160"/>
      <c r="G11" s="160"/>
      <c r="H11" s="160"/>
      <c r="I11" s="160"/>
      <c r="J11" s="160"/>
      <c r="K11" s="160"/>
      <c r="L11" s="161"/>
    </row>
    <row r="12" spans="1:15" s="1" customFormat="1" ht="15.75" thickBot="1" x14ac:dyDescent="0.3">
      <c r="C12" s="162" t="s">
        <v>135</v>
      </c>
      <c r="D12" s="163"/>
      <c r="E12" s="163"/>
      <c r="F12" s="163"/>
      <c r="G12" s="164"/>
      <c r="H12" s="162" t="s">
        <v>129</v>
      </c>
      <c r="I12" s="163"/>
      <c r="J12" s="163"/>
      <c r="K12" s="163"/>
      <c r="L12" s="164"/>
    </row>
    <row r="13" spans="1:15" s="1" customFormat="1" ht="15.75" thickBot="1" x14ac:dyDescent="0.3">
      <c r="C13" s="115">
        <v>2011</v>
      </c>
      <c r="D13" s="118">
        <v>2012</v>
      </c>
      <c r="E13" s="116">
        <v>2013</v>
      </c>
      <c r="F13" s="118">
        <v>2014</v>
      </c>
      <c r="G13" s="117">
        <v>2015</v>
      </c>
      <c r="H13" s="123" t="s">
        <v>92</v>
      </c>
      <c r="I13" s="123" t="s">
        <v>91</v>
      </c>
      <c r="J13" s="123" t="s">
        <v>90</v>
      </c>
      <c r="K13" s="123" t="s">
        <v>130</v>
      </c>
      <c r="L13" s="123" t="s">
        <v>131</v>
      </c>
      <c r="N13" s="12"/>
      <c r="O13" s="12"/>
    </row>
    <row r="14" spans="1:15" s="1" customFormat="1" ht="8.25" customHeight="1" x14ac:dyDescent="0.25">
      <c r="C14" s="122"/>
      <c r="D14" s="112"/>
      <c r="E14" s="112"/>
      <c r="F14" s="112"/>
      <c r="G14" s="126"/>
      <c r="H14" s="127"/>
      <c r="I14" s="37"/>
      <c r="J14" s="37"/>
      <c r="K14" s="37"/>
      <c r="L14" s="128"/>
    </row>
    <row r="15" spans="1:15" x14ac:dyDescent="0.25">
      <c r="A15" s="1" t="s">
        <v>127</v>
      </c>
      <c r="C15" s="138">
        <v>11.620000000000001</v>
      </c>
      <c r="D15" s="139">
        <v>11.079999999999998</v>
      </c>
      <c r="E15" s="139">
        <v>11.120000000000001</v>
      </c>
      <c r="F15" s="139">
        <v>11.34</v>
      </c>
      <c r="G15" s="140">
        <v>10.780000000000001</v>
      </c>
      <c r="H15" s="144">
        <v>11.187999999999999</v>
      </c>
      <c r="I15" s="145">
        <v>10.824999999999999</v>
      </c>
      <c r="J15" s="145">
        <v>10.866666666666667</v>
      </c>
      <c r="K15" s="145">
        <v>10.78</v>
      </c>
      <c r="L15" s="146">
        <v>11.858000000000001</v>
      </c>
      <c r="N15" s="125"/>
      <c r="O15" s="125"/>
    </row>
    <row r="16" spans="1:15" x14ac:dyDescent="0.25">
      <c r="A16" s="1" t="s">
        <v>128</v>
      </c>
      <c r="C16" s="138">
        <v>11.66</v>
      </c>
      <c r="D16" s="139">
        <v>11.28</v>
      </c>
      <c r="E16" s="139">
        <v>10.860000000000001</v>
      </c>
      <c r="F16" s="139">
        <v>11</v>
      </c>
      <c r="G16" s="140">
        <v>10.959999999999999</v>
      </c>
      <c r="H16" s="144">
        <v>11.152000000000001</v>
      </c>
      <c r="I16" s="145">
        <v>10.925000000000001</v>
      </c>
      <c r="J16" s="145">
        <v>10.933333333333332</v>
      </c>
      <c r="K16" s="145">
        <v>10.959999999999999</v>
      </c>
      <c r="L16" s="146">
        <v>12.056000000000001</v>
      </c>
      <c r="N16" s="125"/>
      <c r="O16" s="125"/>
    </row>
    <row r="17" spans="1:15" ht="15.75" thickBot="1" x14ac:dyDescent="0.3">
      <c r="A17" s="1" t="s">
        <v>16</v>
      </c>
      <c r="C17" s="141">
        <v>5.5400000000000009</v>
      </c>
      <c r="D17" s="142">
        <v>5.2799999999999994</v>
      </c>
      <c r="E17" s="142">
        <v>5.2799999999999994</v>
      </c>
      <c r="F17" s="142">
        <v>5.22</v>
      </c>
      <c r="G17" s="143">
        <v>5.1800000000000006</v>
      </c>
      <c r="H17" s="147">
        <v>5.3</v>
      </c>
      <c r="I17" s="148">
        <v>5</v>
      </c>
      <c r="J17" s="148">
        <v>5.0333333333333341</v>
      </c>
      <c r="K17" s="148">
        <v>5.1800000000000006</v>
      </c>
      <c r="L17" s="149">
        <v>5.6980000000000004</v>
      </c>
      <c r="N17" s="125"/>
      <c r="O17" s="125"/>
    </row>
  </sheetData>
  <mergeCells count="6">
    <mergeCell ref="C3:L3"/>
    <mergeCell ref="C11:L11"/>
    <mergeCell ref="C4:G4"/>
    <mergeCell ref="C12:G12"/>
    <mergeCell ref="H4:L4"/>
    <mergeCell ref="H12:L1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workbookViewId="0">
      <selection activeCell="D27" sqref="D27"/>
    </sheetView>
  </sheetViews>
  <sheetFormatPr defaultRowHeight="15" x14ac:dyDescent="0.25"/>
  <cols>
    <col min="1" max="1" width="19.140625" customWidth="1"/>
    <col min="3" max="3" width="14.42578125" customWidth="1"/>
    <col min="5" max="5" width="7.5703125" customWidth="1"/>
    <col min="7" max="7" width="10.28515625" customWidth="1"/>
  </cols>
  <sheetData>
    <row r="2" spans="1:11" ht="30" x14ac:dyDescent="0.25">
      <c r="A2" s="96" t="s">
        <v>94</v>
      </c>
      <c r="B2" s="96" t="s">
        <v>95</v>
      </c>
      <c r="C2" s="96" t="s">
        <v>96</v>
      </c>
      <c r="D2" s="96" t="s">
        <v>73</v>
      </c>
      <c r="E2" s="96" t="s">
        <v>96</v>
      </c>
      <c r="F2" s="96" t="s">
        <v>74</v>
      </c>
      <c r="G2" s="96" t="s">
        <v>96</v>
      </c>
      <c r="H2" s="96" t="s">
        <v>75</v>
      </c>
      <c r="I2" s="96" t="s">
        <v>96</v>
      </c>
      <c r="J2" s="96" t="s">
        <v>76</v>
      </c>
      <c r="K2" s="96" t="s">
        <v>96</v>
      </c>
    </row>
    <row r="3" spans="1:11" x14ac:dyDescent="0.25">
      <c r="A3" s="96" t="s">
        <v>97</v>
      </c>
      <c r="B3" s="97">
        <v>0.75</v>
      </c>
      <c r="C3" s="96">
        <v>2024</v>
      </c>
      <c r="D3" s="97">
        <v>0.71099999999999997</v>
      </c>
      <c r="E3" s="96">
        <v>2071</v>
      </c>
      <c r="F3" s="97">
        <v>0.64900000000000002</v>
      </c>
      <c r="G3" s="96">
        <v>1782</v>
      </c>
      <c r="H3" s="97">
        <v>0.67</v>
      </c>
      <c r="I3" s="96">
        <v>1638</v>
      </c>
      <c r="J3" s="97">
        <v>0.68500000000000005</v>
      </c>
      <c r="K3" s="96">
        <v>1605</v>
      </c>
    </row>
    <row r="4" spans="1:11" x14ac:dyDescent="0.25">
      <c r="A4" s="96" t="s">
        <v>98</v>
      </c>
      <c r="B4" s="97">
        <v>0.251</v>
      </c>
      <c r="C4" s="96">
        <v>677</v>
      </c>
      <c r="D4" s="97">
        <v>0.28899999999999998</v>
      </c>
      <c r="E4" s="96">
        <v>842</v>
      </c>
      <c r="F4" s="97">
        <v>0.35099999999999998</v>
      </c>
      <c r="G4" s="96">
        <v>962</v>
      </c>
      <c r="H4" s="97">
        <v>0.33</v>
      </c>
      <c r="I4" s="96">
        <v>806</v>
      </c>
      <c r="J4" s="97">
        <v>0.315</v>
      </c>
      <c r="K4" s="96">
        <v>739</v>
      </c>
    </row>
    <row r="5" spans="1:11" x14ac:dyDescent="0.25">
      <c r="A5" s="96" t="s">
        <v>93</v>
      </c>
      <c r="B5" s="1">
        <f t="shared" ref="B5:D5" si="0">SUM(B3:B4)</f>
        <v>1.0009999999999999</v>
      </c>
      <c r="C5" s="1">
        <f t="shared" si="0"/>
        <v>2701</v>
      </c>
      <c r="D5" s="1">
        <f t="shared" si="0"/>
        <v>1</v>
      </c>
      <c r="E5">
        <f>SUM(E3:E4)</f>
        <v>2913</v>
      </c>
      <c r="F5" s="1">
        <f t="shared" ref="F5:K5" si="1">SUM(F3:F4)</f>
        <v>1</v>
      </c>
      <c r="G5" s="1">
        <f t="shared" si="1"/>
        <v>2744</v>
      </c>
      <c r="H5" s="1">
        <f t="shared" si="1"/>
        <v>1</v>
      </c>
      <c r="I5" s="1">
        <f t="shared" si="1"/>
        <v>2444</v>
      </c>
      <c r="J5" s="1">
        <f t="shared" si="1"/>
        <v>1</v>
      </c>
      <c r="K5" s="1">
        <f t="shared" si="1"/>
        <v>2344</v>
      </c>
    </row>
    <row r="8" spans="1:11" ht="30" x14ac:dyDescent="0.25">
      <c r="A8" s="96" t="s">
        <v>100</v>
      </c>
      <c r="B8" s="96" t="s">
        <v>101</v>
      </c>
      <c r="C8" s="96" t="s">
        <v>96</v>
      </c>
      <c r="D8" s="96" t="s">
        <v>102</v>
      </c>
      <c r="E8" s="96" t="s">
        <v>96</v>
      </c>
      <c r="F8" s="96" t="s">
        <v>103</v>
      </c>
      <c r="G8" s="96" t="s">
        <v>96</v>
      </c>
      <c r="H8" s="96" t="s">
        <v>104</v>
      </c>
      <c r="I8" s="96" t="s">
        <v>96</v>
      </c>
      <c r="J8" s="96" t="s">
        <v>105</v>
      </c>
      <c r="K8" s="96" t="s">
        <v>96</v>
      </c>
    </row>
    <row r="9" spans="1:11" x14ac:dyDescent="0.25">
      <c r="A9" s="96" t="s">
        <v>97</v>
      </c>
      <c r="B9" s="97">
        <v>0.73099999999999998</v>
      </c>
      <c r="C9" s="96">
        <v>1752</v>
      </c>
      <c r="D9" s="97">
        <v>0.69399999999999995</v>
      </c>
      <c r="E9" s="96">
        <v>1764</v>
      </c>
      <c r="F9" s="97">
        <v>0.65</v>
      </c>
      <c r="G9" s="96">
        <v>1520</v>
      </c>
      <c r="H9" s="97">
        <v>0.64900000000000002</v>
      </c>
      <c r="I9" s="96">
        <v>1358</v>
      </c>
      <c r="J9" s="97">
        <v>0.65500000000000003</v>
      </c>
      <c r="K9" s="96">
        <v>1375</v>
      </c>
    </row>
    <row r="10" spans="1:11" x14ac:dyDescent="0.25">
      <c r="A10" s="96" t="s">
        <v>98</v>
      </c>
      <c r="B10" s="97">
        <v>0.26900000000000002</v>
      </c>
      <c r="C10" s="96">
        <v>645</v>
      </c>
      <c r="D10" s="97">
        <v>0.30599999999999999</v>
      </c>
      <c r="E10" s="96">
        <v>779</v>
      </c>
      <c r="F10" s="97">
        <v>0.35</v>
      </c>
      <c r="G10" s="96">
        <v>817</v>
      </c>
      <c r="H10" s="97">
        <v>0.35099999999999998</v>
      </c>
      <c r="I10" s="96">
        <v>736</v>
      </c>
      <c r="J10" s="97">
        <v>0.34499999999999997</v>
      </c>
      <c r="K10" s="96">
        <v>724</v>
      </c>
    </row>
    <row r="13" spans="1:11" ht="30" x14ac:dyDescent="0.25">
      <c r="A13" s="96" t="s">
        <v>106</v>
      </c>
      <c r="B13" s="96" t="s">
        <v>107</v>
      </c>
      <c r="C13" s="96" t="s">
        <v>96</v>
      </c>
      <c r="D13" s="96" t="s">
        <v>108</v>
      </c>
      <c r="E13" s="96" t="s">
        <v>96</v>
      </c>
      <c r="F13" s="96" t="s">
        <v>109</v>
      </c>
      <c r="G13" s="96" t="s">
        <v>96</v>
      </c>
      <c r="H13" s="96" t="s">
        <v>110</v>
      </c>
      <c r="I13" s="96" t="s">
        <v>96</v>
      </c>
      <c r="J13" s="96" t="s">
        <v>111</v>
      </c>
      <c r="K13" s="96" t="s">
        <v>96</v>
      </c>
    </row>
    <row r="14" spans="1:11" x14ac:dyDescent="0.25">
      <c r="A14" s="96" t="s">
        <v>97</v>
      </c>
      <c r="B14" s="97">
        <v>0.72599999999999998</v>
      </c>
      <c r="C14" s="96">
        <v>1531</v>
      </c>
      <c r="D14" s="97">
        <v>0.63600000000000001</v>
      </c>
      <c r="E14" s="96">
        <v>811</v>
      </c>
      <c r="F14" s="97">
        <v>0.60099999999999998</v>
      </c>
      <c r="G14" s="96">
        <v>733</v>
      </c>
      <c r="H14" s="97">
        <v>0.55800000000000005</v>
      </c>
      <c r="I14" s="96">
        <v>557</v>
      </c>
      <c r="J14" s="97">
        <v>0.56499999999999995</v>
      </c>
      <c r="K14" s="96">
        <v>611</v>
      </c>
    </row>
    <row r="15" spans="1:11" x14ac:dyDescent="0.25">
      <c r="A15" s="96" t="s">
        <v>98</v>
      </c>
      <c r="B15" s="97">
        <v>0.27400000000000002</v>
      </c>
      <c r="C15" s="96">
        <v>578</v>
      </c>
      <c r="D15" s="97">
        <v>0.36399999999999999</v>
      </c>
      <c r="E15" s="96">
        <v>464</v>
      </c>
      <c r="F15" s="97">
        <v>0.39900000000000002</v>
      </c>
      <c r="G15" s="96">
        <v>487</v>
      </c>
      <c r="H15" s="97">
        <v>0.442</v>
      </c>
      <c r="I15" s="96">
        <v>441</v>
      </c>
      <c r="J15" s="97">
        <v>0.435</v>
      </c>
      <c r="K15" s="96">
        <v>470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F14" sqref="F14:F18"/>
    </sheetView>
  </sheetViews>
  <sheetFormatPr defaultColWidth="9.140625" defaultRowHeight="15" x14ac:dyDescent="0.25"/>
  <cols>
    <col min="1" max="1" width="13.42578125" style="1" customWidth="1"/>
    <col min="2" max="2" width="11.140625" style="1" customWidth="1"/>
    <col min="3" max="3" width="11" style="1" bestFit="1" customWidth="1"/>
    <col min="4" max="4" width="9.140625" style="1"/>
    <col min="5" max="5" width="10" style="1" bestFit="1" customWidth="1"/>
    <col min="6" max="7" width="10" style="1" customWidth="1"/>
    <col min="8" max="8" width="9.140625" style="1"/>
    <col min="9" max="9" width="15.85546875" style="1" customWidth="1"/>
    <col min="10" max="10" width="11.140625" style="1" bestFit="1" customWidth="1"/>
    <col min="11" max="12" width="11.140625" style="1" customWidth="1"/>
    <col min="13" max="13" width="12.140625" style="1" customWidth="1"/>
    <col min="14" max="16" width="9.140625" style="1"/>
    <col min="17" max="17" width="15.28515625" style="1" customWidth="1"/>
    <col min="18" max="18" width="11.140625" style="1" bestFit="1" customWidth="1"/>
    <col min="19" max="20" width="11.140625" style="1" customWidth="1"/>
    <col min="21" max="21" width="12.140625" style="1" customWidth="1"/>
    <col min="22" max="16384" width="9.140625" style="1"/>
  </cols>
  <sheetData>
    <row r="1" spans="1:24" x14ac:dyDescent="0.25">
      <c r="A1" s="1" t="s">
        <v>88</v>
      </c>
    </row>
    <row r="3" spans="1:24" hidden="1" x14ac:dyDescent="0.25">
      <c r="A3" s="38" t="s">
        <v>81</v>
      </c>
      <c r="B3" s="38"/>
      <c r="C3" s="38"/>
      <c r="D3" s="38"/>
      <c r="E3" s="38"/>
      <c r="F3" s="38"/>
      <c r="G3" s="38"/>
      <c r="H3" s="38"/>
      <c r="I3" s="58" t="s">
        <v>82</v>
      </c>
      <c r="J3" s="58"/>
      <c r="K3" s="58"/>
      <c r="L3" s="58"/>
      <c r="M3" s="58"/>
      <c r="N3" s="58"/>
      <c r="O3" s="58"/>
      <c r="P3" s="58"/>
      <c r="Q3" s="73" t="s">
        <v>83</v>
      </c>
      <c r="R3" s="73"/>
      <c r="S3" s="73"/>
      <c r="T3" s="73"/>
      <c r="U3" s="73"/>
      <c r="V3" s="73"/>
      <c r="W3" s="73"/>
      <c r="X3" s="73"/>
    </row>
    <row r="4" spans="1:24" ht="15.75" hidden="1" thickBot="1" x14ac:dyDescent="0.3">
      <c r="A4" s="39" t="s">
        <v>71</v>
      </c>
      <c r="B4" s="40" t="s">
        <v>72</v>
      </c>
      <c r="C4" s="40">
        <v>2011</v>
      </c>
      <c r="D4" s="40">
        <v>2012</v>
      </c>
      <c r="E4" s="40">
        <v>2013</v>
      </c>
      <c r="F4" s="40">
        <v>2014</v>
      </c>
      <c r="G4" s="40">
        <v>2015</v>
      </c>
      <c r="H4" s="38"/>
      <c r="I4" s="59" t="s">
        <v>71</v>
      </c>
      <c r="J4" s="60" t="s">
        <v>72</v>
      </c>
      <c r="K4" s="60">
        <v>2011</v>
      </c>
      <c r="L4" s="60">
        <v>2012</v>
      </c>
      <c r="M4" s="60">
        <v>2013</v>
      </c>
      <c r="N4" s="60">
        <v>2014</v>
      </c>
      <c r="O4" s="60">
        <v>2015</v>
      </c>
      <c r="P4" s="58"/>
      <c r="Q4" s="74" t="s">
        <v>71</v>
      </c>
      <c r="R4" s="75" t="s">
        <v>72</v>
      </c>
      <c r="S4" s="75">
        <v>2011</v>
      </c>
      <c r="T4" s="75">
        <v>2012</v>
      </c>
      <c r="U4" s="75">
        <v>2013</v>
      </c>
      <c r="V4" s="75">
        <v>2014</v>
      </c>
      <c r="W4" s="75">
        <v>2015</v>
      </c>
      <c r="X4" s="73"/>
    </row>
    <row r="5" spans="1:24" ht="25.5" hidden="1" customHeight="1" thickBot="1" x14ac:dyDescent="0.3">
      <c r="A5" s="41" t="s">
        <v>10</v>
      </c>
      <c r="B5" s="42">
        <f>SUM(C5:G5)/5</f>
        <v>12.059999999999999</v>
      </c>
      <c r="C5" s="43">
        <v>12.1</v>
      </c>
      <c r="D5" s="43">
        <v>12.4</v>
      </c>
      <c r="E5" s="43">
        <v>11.9</v>
      </c>
      <c r="F5" s="43">
        <v>12.2</v>
      </c>
      <c r="G5" s="43">
        <v>11.7</v>
      </c>
      <c r="H5" s="38"/>
      <c r="I5" s="61" t="s">
        <v>10</v>
      </c>
      <c r="J5" s="62">
        <f>SUM(K5:O5)/5</f>
        <v>11.86</v>
      </c>
      <c r="K5" s="63">
        <v>12.2</v>
      </c>
      <c r="L5" s="63">
        <v>11.9</v>
      </c>
      <c r="M5" s="63">
        <v>11.9</v>
      </c>
      <c r="N5" s="63">
        <v>11.5</v>
      </c>
      <c r="O5" s="63">
        <v>11.8</v>
      </c>
      <c r="P5" s="58"/>
      <c r="Q5" s="76" t="s">
        <v>10</v>
      </c>
      <c r="R5" s="77">
        <f>SUM(S5:W5)/5</f>
        <v>5.78</v>
      </c>
      <c r="S5" s="78">
        <v>6</v>
      </c>
      <c r="T5" s="78">
        <v>5.8</v>
      </c>
      <c r="U5" s="78">
        <v>5.7</v>
      </c>
      <c r="V5" s="78">
        <v>5.6</v>
      </c>
      <c r="W5" s="78">
        <v>5.8</v>
      </c>
      <c r="X5" s="73"/>
    </row>
    <row r="6" spans="1:24" ht="15.75" hidden="1" thickBot="1" x14ac:dyDescent="0.3">
      <c r="A6" s="41" t="s">
        <v>11</v>
      </c>
      <c r="B6" s="42">
        <f t="shared" ref="B6:B9" si="0">SUM(C6:G6)/5</f>
        <v>9.8199999999999985</v>
      </c>
      <c r="C6" s="43">
        <v>10.6</v>
      </c>
      <c r="D6" s="43">
        <v>9.6</v>
      </c>
      <c r="E6" s="43">
        <v>9.6999999999999993</v>
      </c>
      <c r="F6" s="43">
        <v>10.199999999999999</v>
      </c>
      <c r="G6" s="43">
        <v>9</v>
      </c>
      <c r="H6" s="38"/>
      <c r="I6" s="61" t="s">
        <v>11</v>
      </c>
      <c r="J6" s="62">
        <f t="shared" ref="J6:J9" si="1">SUM(K6:O6)/5</f>
        <v>9.36</v>
      </c>
      <c r="K6" s="63">
        <v>10.3</v>
      </c>
      <c r="L6" s="63">
        <v>9.6</v>
      </c>
      <c r="M6" s="63">
        <v>8</v>
      </c>
      <c r="N6" s="63">
        <v>9.5</v>
      </c>
      <c r="O6" s="63">
        <v>9.4</v>
      </c>
      <c r="P6" s="58"/>
      <c r="Q6" s="76" t="s">
        <v>11</v>
      </c>
      <c r="R6" s="77">
        <f t="shared" ref="R6:R9" si="2">SUM(S6:W6)/5</f>
        <v>5.26</v>
      </c>
      <c r="S6" s="78">
        <v>5.2</v>
      </c>
      <c r="T6" s="78">
        <v>5.0999999999999996</v>
      </c>
      <c r="U6" s="78">
        <v>5.4</v>
      </c>
      <c r="V6" s="78">
        <v>5.3</v>
      </c>
      <c r="W6" s="78">
        <v>5.3</v>
      </c>
      <c r="X6" s="73"/>
    </row>
    <row r="7" spans="1:24" ht="15.75" hidden="1" thickBot="1" x14ac:dyDescent="0.3">
      <c r="A7" s="41" t="s">
        <v>8</v>
      </c>
      <c r="B7" s="42">
        <f t="shared" si="0"/>
        <v>12.459999999999999</v>
      </c>
      <c r="C7" s="43">
        <v>12.5</v>
      </c>
      <c r="D7" s="43">
        <v>12.3</v>
      </c>
      <c r="E7" s="43">
        <v>12.5</v>
      </c>
      <c r="F7" s="43">
        <v>12.5</v>
      </c>
      <c r="G7" s="43">
        <v>12.5</v>
      </c>
      <c r="H7" s="38"/>
      <c r="I7" s="61" t="s">
        <v>8</v>
      </c>
      <c r="J7" s="62">
        <f t="shared" si="1"/>
        <v>12.38</v>
      </c>
      <c r="K7" s="63">
        <v>12.5</v>
      </c>
      <c r="L7" s="63">
        <v>12.6</v>
      </c>
      <c r="M7" s="63">
        <v>12.3</v>
      </c>
      <c r="N7" s="63">
        <v>12</v>
      </c>
      <c r="O7" s="63">
        <v>12.5</v>
      </c>
      <c r="P7" s="58"/>
      <c r="Q7" s="76" t="s">
        <v>8</v>
      </c>
      <c r="R7" s="77">
        <f t="shared" si="2"/>
        <v>5.3199999999999994</v>
      </c>
      <c r="S7" s="78">
        <v>5.8</v>
      </c>
      <c r="T7" s="78">
        <v>5.4</v>
      </c>
      <c r="U7" s="78">
        <v>5.2</v>
      </c>
      <c r="V7" s="78">
        <v>5</v>
      </c>
      <c r="W7" s="78">
        <v>5.2</v>
      </c>
      <c r="X7" s="73"/>
    </row>
    <row r="8" spans="1:24" ht="15.75" hidden="1" thickBot="1" x14ac:dyDescent="0.3">
      <c r="A8" s="41" t="s">
        <v>9</v>
      </c>
      <c r="B8" s="42">
        <f t="shared" si="0"/>
        <v>10.580000000000002</v>
      </c>
      <c r="C8" s="43">
        <v>11.1</v>
      </c>
      <c r="D8" s="43">
        <v>10.4</v>
      </c>
      <c r="E8" s="43">
        <v>10.6</v>
      </c>
      <c r="F8" s="43">
        <v>10.6</v>
      </c>
      <c r="G8" s="43">
        <v>10.199999999999999</v>
      </c>
      <c r="H8" s="38"/>
      <c r="I8" s="61" t="s">
        <v>9</v>
      </c>
      <c r="J8" s="62">
        <f t="shared" si="1"/>
        <v>11.16</v>
      </c>
      <c r="K8" s="63">
        <v>12</v>
      </c>
      <c r="L8" s="63">
        <v>11.4</v>
      </c>
      <c r="M8" s="63">
        <v>10.6</v>
      </c>
      <c r="N8" s="63">
        <v>10.9</v>
      </c>
      <c r="O8" s="63">
        <v>10.9</v>
      </c>
      <c r="P8" s="58"/>
      <c r="Q8" s="76" t="s">
        <v>9</v>
      </c>
      <c r="R8" s="77">
        <f t="shared" si="2"/>
        <v>5.0599999999999996</v>
      </c>
      <c r="S8" s="78">
        <v>5.3</v>
      </c>
      <c r="T8" s="78">
        <v>5.2</v>
      </c>
      <c r="U8" s="78">
        <v>4.7</v>
      </c>
      <c r="V8" s="78">
        <v>5.2</v>
      </c>
      <c r="W8" s="78">
        <v>4.9000000000000004</v>
      </c>
      <c r="X8" s="73"/>
    </row>
    <row r="9" spans="1:24" ht="15.75" hidden="1" thickBot="1" x14ac:dyDescent="0.3">
      <c r="A9" s="41" t="s">
        <v>12</v>
      </c>
      <c r="B9" s="42">
        <f t="shared" si="0"/>
        <v>11.02</v>
      </c>
      <c r="C9" s="43">
        <v>11.8</v>
      </c>
      <c r="D9" s="43">
        <v>10.7</v>
      </c>
      <c r="E9" s="43">
        <v>10.9</v>
      </c>
      <c r="F9" s="43">
        <v>11.2</v>
      </c>
      <c r="G9" s="43">
        <v>10.5</v>
      </c>
      <c r="H9" s="38"/>
      <c r="I9" s="61" t="s">
        <v>12</v>
      </c>
      <c r="J9" s="62">
        <f t="shared" si="1"/>
        <v>11</v>
      </c>
      <c r="K9" s="63">
        <v>11.3</v>
      </c>
      <c r="L9" s="63">
        <v>10.9</v>
      </c>
      <c r="M9" s="63">
        <v>11.5</v>
      </c>
      <c r="N9" s="63">
        <v>11.1</v>
      </c>
      <c r="O9" s="63">
        <v>10.199999999999999</v>
      </c>
      <c r="P9" s="58"/>
      <c r="Q9" s="76" t="s">
        <v>12</v>
      </c>
      <c r="R9" s="77">
        <f t="shared" si="2"/>
        <v>5.08</v>
      </c>
      <c r="S9" s="78">
        <v>5.4</v>
      </c>
      <c r="T9" s="78">
        <v>4.9000000000000004</v>
      </c>
      <c r="U9" s="78">
        <v>5.4</v>
      </c>
      <c r="V9" s="78">
        <v>5</v>
      </c>
      <c r="W9" s="78">
        <v>4.7</v>
      </c>
      <c r="X9" s="73"/>
    </row>
    <row r="10" spans="1:24" hidden="1" x14ac:dyDescent="0.25">
      <c r="A10" s="45"/>
      <c r="B10" s="95"/>
      <c r="C10" s="48"/>
      <c r="D10" s="48"/>
      <c r="E10" s="48"/>
      <c r="F10" s="48"/>
      <c r="G10" s="48"/>
      <c r="H10" s="38"/>
      <c r="I10" s="65"/>
      <c r="J10" s="90"/>
      <c r="K10" s="69"/>
      <c r="L10" s="69"/>
      <c r="M10" s="69"/>
      <c r="N10" s="69"/>
      <c r="O10" s="69"/>
      <c r="P10" s="58"/>
      <c r="Q10" s="80"/>
      <c r="R10" s="93"/>
      <c r="S10" s="84"/>
      <c r="T10" s="84"/>
      <c r="U10" s="84"/>
      <c r="V10" s="84"/>
      <c r="W10" s="84"/>
      <c r="X10" s="73"/>
    </row>
    <row r="11" spans="1:24" x14ac:dyDescent="0.25">
      <c r="A11" s="38"/>
      <c r="B11" s="44"/>
      <c r="C11" s="38"/>
      <c r="D11" s="38"/>
      <c r="E11" s="38"/>
      <c r="F11" s="38"/>
      <c r="G11" s="38"/>
      <c r="H11" s="38"/>
      <c r="I11" s="58"/>
      <c r="J11" s="64"/>
      <c r="K11" s="64"/>
      <c r="L11" s="64"/>
      <c r="M11" s="58"/>
      <c r="N11" s="58"/>
      <c r="O11" s="58"/>
      <c r="P11" s="58"/>
      <c r="Q11" s="73"/>
      <c r="R11" s="79"/>
      <c r="S11" s="79"/>
      <c r="T11" s="79"/>
      <c r="U11" s="73"/>
      <c r="V11" s="73"/>
      <c r="W11" s="73"/>
      <c r="X11" s="73"/>
    </row>
    <row r="12" spans="1:24" ht="15.75" thickBot="1" x14ac:dyDescent="0.3">
      <c r="A12" s="45" t="s">
        <v>77</v>
      </c>
      <c r="B12" s="44"/>
      <c r="C12" s="38"/>
      <c r="D12" s="38"/>
      <c r="E12" s="38"/>
      <c r="F12" s="38"/>
      <c r="G12" s="38"/>
      <c r="H12" s="38"/>
      <c r="I12" s="65" t="s">
        <v>77</v>
      </c>
      <c r="J12" s="64"/>
      <c r="K12" s="64"/>
      <c r="L12" s="64"/>
      <c r="M12" s="58"/>
      <c r="N12" s="58"/>
      <c r="O12" s="58"/>
      <c r="P12" s="58"/>
      <c r="Q12" s="80" t="s">
        <v>77</v>
      </c>
      <c r="R12" s="79"/>
      <c r="S12" s="79"/>
      <c r="T12" s="79"/>
      <c r="U12" s="73"/>
      <c r="V12" s="73"/>
      <c r="W12" s="73"/>
      <c r="X12" s="73"/>
    </row>
    <row r="13" spans="1:24" ht="15.75" thickBot="1" x14ac:dyDescent="0.3">
      <c r="A13" s="39" t="s">
        <v>71</v>
      </c>
      <c r="B13" s="40" t="s">
        <v>72</v>
      </c>
      <c r="C13" s="40">
        <v>2011</v>
      </c>
      <c r="D13" s="40">
        <v>2012</v>
      </c>
      <c r="E13" s="40">
        <v>2013</v>
      </c>
      <c r="F13" s="40">
        <v>2014</v>
      </c>
      <c r="G13" s="40">
        <v>2015</v>
      </c>
      <c r="H13" s="38"/>
      <c r="I13" s="59" t="s">
        <v>71</v>
      </c>
      <c r="J13" s="60" t="s">
        <v>72</v>
      </c>
      <c r="K13" s="60">
        <v>2011</v>
      </c>
      <c r="L13" s="60">
        <v>2012</v>
      </c>
      <c r="M13" s="60">
        <v>2013</v>
      </c>
      <c r="N13" s="60">
        <v>2014</v>
      </c>
      <c r="O13" s="60">
        <v>2015</v>
      </c>
      <c r="P13" s="58"/>
      <c r="Q13" s="74" t="s">
        <v>71</v>
      </c>
      <c r="R13" s="75" t="s">
        <v>72</v>
      </c>
      <c r="S13" s="75">
        <v>2011</v>
      </c>
      <c r="T13" s="75">
        <v>2012</v>
      </c>
      <c r="U13" s="75">
        <v>2013</v>
      </c>
      <c r="V13" s="75">
        <v>2014</v>
      </c>
      <c r="W13" s="75">
        <v>2015</v>
      </c>
      <c r="X13" s="73"/>
    </row>
    <row r="14" spans="1:24" ht="15.75" thickBot="1" x14ac:dyDescent="0.3">
      <c r="A14" s="41" t="s">
        <v>10</v>
      </c>
      <c r="B14" s="42">
        <f>SUM(C14:G14)/4</f>
        <v>305.75</v>
      </c>
      <c r="C14" s="43">
        <v>0</v>
      </c>
      <c r="D14" s="43">
        <v>409</v>
      </c>
      <c r="E14" s="43">
        <v>319</v>
      </c>
      <c r="F14" s="43">
        <v>262</v>
      </c>
      <c r="G14" s="43">
        <v>233</v>
      </c>
      <c r="H14" s="38"/>
      <c r="I14" s="61" t="s">
        <v>10</v>
      </c>
      <c r="J14" s="62">
        <f>SUM(K14:O14)/4</f>
        <v>326</v>
      </c>
      <c r="K14" s="62">
        <v>0</v>
      </c>
      <c r="L14" s="62">
        <v>428</v>
      </c>
      <c r="M14" s="63">
        <v>372</v>
      </c>
      <c r="N14" s="63">
        <v>266</v>
      </c>
      <c r="O14" s="63">
        <v>238</v>
      </c>
      <c r="P14" s="58"/>
      <c r="Q14" s="76" t="s">
        <v>10</v>
      </c>
      <c r="R14" s="77">
        <f>SUM(S14:W14)/4</f>
        <v>167.5</v>
      </c>
      <c r="S14" s="77">
        <v>0</v>
      </c>
      <c r="T14" s="77">
        <v>199</v>
      </c>
      <c r="U14" s="78">
        <v>204</v>
      </c>
      <c r="V14" s="78">
        <v>136</v>
      </c>
      <c r="W14" s="78">
        <v>131</v>
      </c>
      <c r="X14" s="73"/>
    </row>
    <row r="15" spans="1:24" ht="15.75" thickBot="1" x14ac:dyDescent="0.3">
      <c r="A15" s="41" t="s">
        <v>11</v>
      </c>
      <c r="B15" s="42">
        <f t="shared" ref="B15:B18" si="3">SUM(C15:G15)/4</f>
        <v>238.5</v>
      </c>
      <c r="C15" s="43">
        <v>0</v>
      </c>
      <c r="D15" s="43">
        <v>267</v>
      </c>
      <c r="E15" s="43">
        <v>243</v>
      </c>
      <c r="F15" s="43">
        <v>223</v>
      </c>
      <c r="G15" s="43">
        <v>221</v>
      </c>
      <c r="H15" s="38"/>
      <c r="I15" s="61" t="s">
        <v>11</v>
      </c>
      <c r="J15" s="62">
        <f t="shared" ref="J15:J18" si="4">SUM(K15:O15)/4</f>
        <v>208.75</v>
      </c>
      <c r="K15" s="62">
        <v>0</v>
      </c>
      <c r="L15" s="62">
        <v>244</v>
      </c>
      <c r="M15" s="63">
        <v>215</v>
      </c>
      <c r="N15" s="63">
        <v>158</v>
      </c>
      <c r="O15" s="63">
        <v>218</v>
      </c>
      <c r="P15" s="58"/>
      <c r="Q15" s="76" t="s">
        <v>11</v>
      </c>
      <c r="R15" s="77">
        <f t="shared" ref="R15:R18" si="5">SUM(S15:W15)/4</f>
        <v>143</v>
      </c>
      <c r="S15" s="77">
        <v>0</v>
      </c>
      <c r="T15" s="77">
        <v>144</v>
      </c>
      <c r="U15" s="78">
        <v>150</v>
      </c>
      <c r="V15" s="78">
        <v>111</v>
      </c>
      <c r="W15" s="78">
        <v>167</v>
      </c>
      <c r="X15" s="73"/>
    </row>
    <row r="16" spans="1:24" ht="15.75" thickBot="1" x14ac:dyDescent="0.3">
      <c r="A16" s="41" t="s">
        <v>8</v>
      </c>
      <c r="B16" s="42">
        <f t="shared" si="3"/>
        <v>1002.5</v>
      </c>
      <c r="C16" s="43">
        <v>0</v>
      </c>
      <c r="D16" s="43">
        <v>1072</v>
      </c>
      <c r="E16" s="43">
        <v>1018</v>
      </c>
      <c r="F16" s="43">
        <v>968</v>
      </c>
      <c r="G16" s="43">
        <v>952</v>
      </c>
      <c r="H16" s="38"/>
      <c r="I16" s="61" t="s">
        <v>8</v>
      </c>
      <c r="J16" s="62">
        <f t="shared" si="4"/>
        <v>929.75</v>
      </c>
      <c r="K16" s="62">
        <v>0</v>
      </c>
      <c r="L16" s="62">
        <v>959</v>
      </c>
      <c r="M16" s="63">
        <v>976</v>
      </c>
      <c r="N16" s="63">
        <v>937</v>
      </c>
      <c r="O16" s="63">
        <v>847</v>
      </c>
      <c r="P16" s="58"/>
      <c r="Q16" s="76" t="s">
        <v>8</v>
      </c>
      <c r="R16" s="77">
        <f t="shared" si="5"/>
        <v>483.25</v>
      </c>
      <c r="S16" s="77">
        <v>0</v>
      </c>
      <c r="T16" s="77">
        <v>559</v>
      </c>
      <c r="U16" s="78">
        <v>549</v>
      </c>
      <c r="V16" s="78">
        <v>437</v>
      </c>
      <c r="W16" s="78">
        <v>388</v>
      </c>
      <c r="X16" s="73"/>
    </row>
    <row r="17" spans="1:24" ht="15.75" thickBot="1" x14ac:dyDescent="0.3">
      <c r="A17" s="41" t="s">
        <v>9</v>
      </c>
      <c r="B17" s="42">
        <f t="shared" si="3"/>
        <v>694.5</v>
      </c>
      <c r="C17" s="43">
        <v>0</v>
      </c>
      <c r="D17" s="43">
        <v>771</v>
      </c>
      <c r="E17" s="43">
        <v>669</v>
      </c>
      <c r="F17" s="43">
        <v>703</v>
      </c>
      <c r="G17" s="43">
        <v>635</v>
      </c>
      <c r="H17" s="38"/>
      <c r="I17" s="61" t="s">
        <v>9</v>
      </c>
      <c r="J17" s="62">
        <f t="shared" si="4"/>
        <v>608.5</v>
      </c>
      <c r="K17" s="62">
        <v>0</v>
      </c>
      <c r="L17" s="62">
        <v>691</v>
      </c>
      <c r="M17" s="63">
        <v>586</v>
      </c>
      <c r="N17" s="63">
        <v>553</v>
      </c>
      <c r="O17" s="63">
        <v>604</v>
      </c>
      <c r="P17" s="58"/>
      <c r="Q17" s="76" t="s">
        <v>9</v>
      </c>
      <c r="R17" s="77">
        <f t="shared" si="5"/>
        <v>252.25</v>
      </c>
      <c r="S17" s="77">
        <v>0</v>
      </c>
      <c r="T17" s="77">
        <v>265</v>
      </c>
      <c r="U17" s="78">
        <v>206</v>
      </c>
      <c r="V17" s="78">
        <v>219</v>
      </c>
      <c r="W17" s="78">
        <v>319</v>
      </c>
      <c r="X17" s="73"/>
    </row>
    <row r="18" spans="1:24" ht="15.75" thickBot="1" x14ac:dyDescent="0.3">
      <c r="A18" s="41" t="s">
        <v>12</v>
      </c>
      <c r="B18" s="42">
        <f t="shared" si="3"/>
        <v>197.75</v>
      </c>
      <c r="C18" s="43">
        <v>0</v>
      </c>
      <c r="D18" s="43">
        <v>225</v>
      </c>
      <c r="E18" s="43">
        <v>195</v>
      </c>
      <c r="F18" s="43">
        <v>188</v>
      </c>
      <c r="G18" s="43">
        <v>183</v>
      </c>
      <c r="H18" s="38"/>
      <c r="I18" s="61" t="s">
        <v>12</v>
      </c>
      <c r="J18" s="62">
        <f t="shared" si="4"/>
        <v>195.25</v>
      </c>
      <c r="K18" s="62">
        <v>0</v>
      </c>
      <c r="L18" s="62">
        <v>221</v>
      </c>
      <c r="M18" s="63">
        <v>188</v>
      </c>
      <c r="N18" s="63">
        <v>180</v>
      </c>
      <c r="O18" s="63">
        <v>192</v>
      </c>
      <c r="P18" s="58"/>
      <c r="Q18" s="76" t="s">
        <v>12</v>
      </c>
      <c r="R18" s="77">
        <f t="shared" si="5"/>
        <v>97.5</v>
      </c>
      <c r="S18" s="77">
        <v>0</v>
      </c>
      <c r="T18" s="77">
        <v>108</v>
      </c>
      <c r="U18" s="78">
        <v>111</v>
      </c>
      <c r="V18" s="78">
        <v>95</v>
      </c>
      <c r="W18" s="78">
        <v>76</v>
      </c>
      <c r="X18" s="73"/>
    </row>
    <row r="19" spans="1:24" ht="15.75" thickBot="1" x14ac:dyDescent="0.3">
      <c r="A19" s="41" t="s">
        <v>87</v>
      </c>
      <c r="B19" s="42">
        <f>SUM(B14:B18)</f>
        <v>2439</v>
      </c>
      <c r="C19" s="42">
        <f t="shared" ref="C19:G19" si="6">SUM(C14:C18)</f>
        <v>0</v>
      </c>
      <c r="D19" s="42">
        <f t="shared" si="6"/>
        <v>2744</v>
      </c>
      <c r="E19" s="42">
        <f t="shared" si="6"/>
        <v>2444</v>
      </c>
      <c r="F19" s="42">
        <f t="shared" si="6"/>
        <v>2344</v>
      </c>
      <c r="G19" s="42">
        <f t="shared" si="6"/>
        <v>2224</v>
      </c>
      <c r="H19" s="38"/>
      <c r="I19" s="61" t="s">
        <v>87</v>
      </c>
      <c r="J19" s="62">
        <f>SUM(J14:J18)</f>
        <v>2268.25</v>
      </c>
      <c r="K19" s="62">
        <f t="shared" ref="K19:O19" si="7">SUM(K14:K18)</f>
        <v>0</v>
      </c>
      <c r="L19" s="62">
        <f t="shared" si="7"/>
        <v>2543</v>
      </c>
      <c r="M19" s="62">
        <f t="shared" si="7"/>
        <v>2337</v>
      </c>
      <c r="N19" s="62">
        <f t="shared" si="7"/>
        <v>2094</v>
      </c>
      <c r="O19" s="62">
        <f t="shared" si="7"/>
        <v>2099</v>
      </c>
      <c r="P19" s="58"/>
      <c r="Q19" s="76" t="s">
        <v>87</v>
      </c>
      <c r="R19" s="77">
        <f>SUM(R14:R18)</f>
        <v>1143.5</v>
      </c>
      <c r="S19" s="77">
        <f t="shared" ref="S19:W19" si="8">SUM(S14:S18)</f>
        <v>0</v>
      </c>
      <c r="T19" s="77">
        <f t="shared" si="8"/>
        <v>1275</v>
      </c>
      <c r="U19" s="77">
        <f t="shared" si="8"/>
        <v>1220</v>
      </c>
      <c r="V19" s="77">
        <f t="shared" si="8"/>
        <v>998</v>
      </c>
      <c r="W19" s="77">
        <f t="shared" si="8"/>
        <v>1081</v>
      </c>
      <c r="X19" s="73"/>
    </row>
    <row r="20" spans="1:24" x14ac:dyDescent="0.25">
      <c r="A20" s="45"/>
      <c r="B20" s="95"/>
      <c r="C20" s="48"/>
      <c r="D20" s="48"/>
      <c r="E20" s="48"/>
      <c r="F20" s="48"/>
      <c r="G20" s="48"/>
      <c r="H20" s="38"/>
      <c r="I20" s="65"/>
      <c r="J20" s="90"/>
      <c r="K20" s="90"/>
      <c r="L20" s="90"/>
      <c r="M20" s="69"/>
      <c r="N20" s="69"/>
      <c r="O20" s="69"/>
      <c r="P20" s="58"/>
      <c r="Q20" s="80"/>
      <c r="R20" s="93"/>
      <c r="S20" s="93"/>
      <c r="T20" s="93"/>
      <c r="U20" s="84"/>
      <c r="V20" s="84"/>
      <c r="W20" s="84"/>
      <c r="X20" s="73"/>
    </row>
    <row r="21" spans="1:24" x14ac:dyDescent="0.25">
      <c r="A21" s="38"/>
      <c r="B21" s="44"/>
      <c r="C21" s="38"/>
      <c r="D21" s="38"/>
      <c r="E21" s="38"/>
      <c r="F21" s="38"/>
      <c r="G21" s="38"/>
      <c r="H21" s="38"/>
      <c r="I21" s="58"/>
      <c r="J21" s="64"/>
      <c r="K21" s="64"/>
      <c r="L21" s="64"/>
      <c r="M21" s="58"/>
      <c r="N21" s="58"/>
      <c r="O21" s="58"/>
      <c r="P21" s="58"/>
      <c r="Q21" s="73"/>
      <c r="R21" s="79"/>
      <c r="S21" s="79"/>
      <c r="T21" s="79"/>
      <c r="U21" s="73"/>
      <c r="V21" s="73"/>
      <c r="W21" s="73"/>
      <c r="X21" s="73"/>
    </row>
    <row r="22" spans="1:24" ht="15.75" thickBot="1" x14ac:dyDescent="0.3">
      <c r="A22" s="45" t="s">
        <v>84</v>
      </c>
      <c r="B22" s="44"/>
      <c r="C22" s="38"/>
      <c r="D22" s="38"/>
      <c r="E22" s="38"/>
      <c r="F22" s="38"/>
      <c r="G22" s="38"/>
      <c r="H22" s="38"/>
      <c r="I22" s="65" t="s">
        <v>85</v>
      </c>
      <c r="J22" s="64"/>
      <c r="K22" s="64"/>
      <c r="L22" s="64"/>
      <c r="M22" s="58"/>
      <c r="N22" s="58"/>
      <c r="O22" s="58"/>
      <c r="P22" s="58"/>
      <c r="Q22" s="80" t="s">
        <v>86</v>
      </c>
      <c r="R22" s="79"/>
      <c r="S22" s="79"/>
      <c r="T22" s="79"/>
      <c r="U22" s="73"/>
      <c r="V22" s="73"/>
      <c r="W22" s="73"/>
      <c r="X22" s="73"/>
    </row>
    <row r="23" spans="1:24" ht="15.75" thickBot="1" x14ac:dyDescent="0.3">
      <c r="A23" s="39" t="s">
        <v>71</v>
      </c>
      <c r="B23" s="40" t="s">
        <v>72</v>
      </c>
      <c r="C23" s="39" t="s">
        <v>80</v>
      </c>
      <c r="D23" s="47"/>
      <c r="E23" s="47"/>
      <c r="F23" s="47"/>
      <c r="G23" s="47"/>
      <c r="H23" s="38"/>
      <c r="I23" s="59" t="s">
        <v>71</v>
      </c>
      <c r="J23" s="60" t="s">
        <v>72</v>
      </c>
      <c r="K23" s="59" t="s">
        <v>80</v>
      </c>
      <c r="L23" s="89"/>
      <c r="M23" s="67"/>
      <c r="N23" s="67"/>
      <c r="O23" s="67"/>
      <c r="P23" s="58"/>
      <c r="Q23" s="74" t="s">
        <v>71</v>
      </c>
      <c r="R23" s="75" t="s">
        <v>72</v>
      </c>
      <c r="S23" s="74" t="s">
        <v>80</v>
      </c>
      <c r="T23" s="92"/>
      <c r="U23" s="82"/>
      <c r="V23" s="82"/>
      <c r="W23" s="82"/>
      <c r="X23" s="73"/>
    </row>
    <row r="24" spans="1:24" ht="15.75" thickBot="1" x14ac:dyDescent="0.3">
      <c r="A24" s="41" t="s">
        <v>10</v>
      </c>
      <c r="B24" s="42"/>
      <c r="C24" s="50">
        <f>+B14*50</f>
        <v>15287.5</v>
      </c>
      <c r="D24" s="48"/>
      <c r="E24" s="48"/>
      <c r="F24" s="48"/>
      <c r="G24" s="48"/>
      <c r="H24" s="38"/>
      <c r="I24" s="61" t="s">
        <v>10</v>
      </c>
      <c r="J24" s="62"/>
      <c r="K24" s="68">
        <f>+J14*50</f>
        <v>16300</v>
      </c>
      <c r="L24" s="90"/>
      <c r="M24" s="90"/>
      <c r="N24" s="69"/>
      <c r="O24" s="69"/>
      <c r="P24" s="58"/>
      <c r="Q24" s="76" t="s">
        <v>10</v>
      </c>
      <c r="R24" s="77"/>
      <c r="S24" s="83">
        <f>+R14*50</f>
        <v>8375</v>
      </c>
      <c r="T24" s="93"/>
      <c r="U24" s="93"/>
      <c r="V24" s="84"/>
      <c r="W24" s="84"/>
      <c r="X24" s="73"/>
    </row>
    <row r="25" spans="1:24" ht="15.75" thickBot="1" x14ac:dyDescent="0.3">
      <c r="A25" s="41" t="s">
        <v>11</v>
      </c>
      <c r="B25" s="42"/>
      <c r="C25" s="50">
        <f t="shared" ref="C25:C28" si="9">+B15*50</f>
        <v>11925</v>
      </c>
      <c r="D25" s="48"/>
      <c r="E25" s="48"/>
      <c r="F25" s="48"/>
      <c r="G25" s="48"/>
      <c r="H25" s="38"/>
      <c r="I25" s="61" t="s">
        <v>11</v>
      </c>
      <c r="J25" s="62"/>
      <c r="K25" s="68">
        <f t="shared" ref="K25:K28" si="10">+J15*50</f>
        <v>10437.5</v>
      </c>
      <c r="L25" s="90"/>
      <c r="M25" s="90"/>
      <c r="N25" s="69"/>
      <c r="O25" s="69"/>
      <c r="P25" s="58"/>
      <c r="Q25" s="76" t="s">
        <v>11</v>
      </c>
      <c r="R25" s="77"/>
      <c r="S25" s="83">
        <f t="shared" ref="S25:S28" si="11">+R15*50</f>
        <v>7150</v>
      </c>
      <c r="T25" s="93"/>
      <c r="U25" s="93"/>
      <c r="V25" s="84"/>
      <c r="W25" s="84"/>
      <c r="X25" s="73"/>
    </row>
    <row r="26" spans="1:24" ht="15.75" thickBot="1" x14ac:dyDescent="0.3">
      <c r="A26" s="41" t="s">
        <v>8</v>
      </c>
      <c r="B26" s="42"/>
      <c r="C26" s="50">
        <f t="shared" si="9"/>
        <v>50125</v>
      </c>
      <c r="D26" s="48"/>
      <c r="E26" s="48"/>
      <c r="F26" s="48"/>
      <c r="G26" s="48"/>
      <c r="H26" s="38"/>
      <c r="I26" s="61" t="s">
        <v>8</v>
      </c>
      <c r="J26" s="62"/>
      <c r="K26" s="68">
        <f t="shared" si="10"/>
        <v>46487.5</v>
      </c>
      <c r="L26" s="90"/>
      <c r="M26" s="90"/>
      <c r="N26" s="69"/>
      <c r="O26" s="69"/>
      <c r="P26" s="58"/>
      <c r="Q26" s="76" t="s">
        <v>8</v>
      </c>
      <c r="R26" s="77"/>
      <c r="S26" s="83">
        <f t="shared" si="11"/>
        <v>24162.5</v>
      </c>
      <c r="T26" s="93"/>
      <c r="U26" s="93"/>
      <c r="V26" s="84"/>
      <c r="W26" s="84"/>
      <c r="X26" s="73"/>
    </row>
    <row r="27" spans="1:24" ht="15.75" thickBot="1" x14ac:dyDescent="0.3">
      <c r="A27" s="41" t="s">
        <v>9</v>
      </c>
      <c r="B27" s="42"/>
      <c r="C27" s="50">
        <f t="shared" si="9"/>
        <v>34725</v>
      </c>
      <c r="D27" s="48"/>
      <c r="E27" s="48"/>
      <c r="F27" s="48"/>
      <c r="G27" s="48"/>
      <c r="H27" s="38"/>
      <c r="I27" s="61" t="s">
        <v>9</v>
      </c>
      <c r="J27" s="62"/>
      <c r="K27" s="68">
        <f t="shared" si="10"/>
        <v>30425</v>
      </c>
      <c r="L27" s="90"/>
      <c r="M27" s="90"/>
      <c r="N27" s="69"/>
      <c r="O27" s="69"/>
      <c r="P27" s="58"/>
      <c r="Q27" s="76" t="s">
        <v>9</v>
      </c>
      <c r="R27" s="77"/>
      <c r="S27" s="83">
        <f t="shared" si="11"/>
        <v>12612.5</v>
      </c>
      <c r="T27" s="93"/>
      <c r="U27" s="93"/>
      <c r="V27" s="84"/>
      <c r="W27" s="84"/>
      <c r="X27" s="73"/>
    </row>
    <row r="28" spans="1:24" ht="15.75" thickBot="1" x14ac:dyDescent="0.3">
      <c r="A28" s="41" t="s">
        <v>12</v>
      </c>
      <c r="B28" s="42"/>
      <c r="C28" s="50">
        <f t="shared" si="9"/>
        <v>9887.5</v>
      </c>
      <c r="D28" s="48"/>
      <c r="E28" s="48"/>
      <c r="F28" s="48"/>
      <c r="G28" s="48"/>
      <c r="H28" s="38"/>
      <c r="I28" s="61" t="s">
        <v>12</v>
      </c>
      <c r="J28" s="62"/>
      <c r="K28" s="68">
        <f t="shared" si="10"/>
        <v>9762.5</v>
      </c>
      <c r="L28" s="90"/>
      <c r="M28" s="90"/>
      <c r="N28" s="69"/>
      <c r="O28" s="69"/>
      <c r="P28" s="58"/>
      <c r="Q28" s="76" t="s">
        <v>12</v>
      </c>
      <c r="R28" s="77"/>
      <c r="S28" s="83">
        <f t="shared" si="11"/>
        <v>4875</v>
      </c>
      <c r="T28" s="93"/>
      <c r="U28" s="93"/>
      <c r="V28" s="84"/>
      <c r="W28" s="84"/>
      <c r="X28" s="73"/>
    </row>
    <row r="29" spans="1:24" ht="15.75" thickBot="1" x14ac:dyDescent="0.3">
      <c r="A29" s="38"/>
      <c r="B29" s="38"/>
      <c r="C29" s="51">
        <f>SUM(C24:C28)</f>
        <v>121950</v>
      </c>
      <c r="D29" s="49"/>
      <c r="E29" s="49"/>
      <c r="F29" s="49"/>
      <c r="G29" s="49"/>
      <c r="H29" s="38"/>
      <c r="I29" s="58"/>
      <c r="J29" s="58"/>
      <c r="K29" s="70">
        <f>SUM(K24:K28)</f>
        <v>113412.5</v>
      </c>
      <c r="L29" s="71"/>
      <c r="M29" s="91"/>
      <c r="N29" s="71"/>
      <c r="O29" s="71"/>
      <c r="P29" s="58"/>
      <c r="Q29" s="73"/>
      <c r="R29" s="73"/>
      <c r="S29" s="85">
        <f>SUM(S24:S28)</f>
        <v>57175</v>
      </c>
      <c r="T29" s="86"/>
      <c r="U29" s="94"/>
      <c r="V29" s="86"/>
      <c r="W29" s="86"/>
      <c r="X29" s="73"/>
    </row>
    <row r="30" spans="1:24" ht="15.75" thickTop="1" x14ac:dyDescent="0.25">
      <c r="C30" s="37"/>
      <c r="D30" s="37"/>
      <c r="E30" s="37"/>
      <c r="F30" s="37"/>
      <c r="G30" s="37"/>
      <c r="K30" s="90"/>
    </row>
    <row r="31" spans="1:24" ht="30.75" thickBot="1" x14ac:dyDescent="0.3">
      <c r="A31" s="36" t="s">
        <v>78</v>
      </c>
      <c r="B31" s="55"/>
      <c r="C31" s="23"/>
      <c r="D31" s="23"/>
      <c r="E31" s="23"/>
      <c r="F31" s="23"/>
      <c r="G31" s="23"/>
      <c r="H31" s="23"/>
    </row>
    <row r="32" spans="1:24" ht="15.75" thickBot="1" x14ac:dyDescent="0.3">
      <c r="A32" s="52" t="s">
        <v>71</v>
      </c>
      <c r="B32" s="56" t="s">
        <v>81</v>
      </c>
      <c r="C32" s="52" t="s">
        <v>82</v>
      </c>
      <c r="D32" s="52" t="s">
        <v>83</v>
      </c>
      <c r="E32" s="52" t="s">
        <v>87</v>
      </c>
      <c r="F32" s="87"/>
      <c r="G32" s="87"/>
      <c r="H32" s="23"/>
    </row>
    <row r="33" spans="1:8" ht="15.75" thickBot="1" x14ac:dyDescent="0.3">
      <c r="A33" s="53" t="s">
        <v>10</v>
      </c>
      <c r="B33" s="54">
        <f>+C24</f>
        <v>15287.5</v>
      </c>
      <c r="C33" s="57">
        <f>+K24</f>
        <v>16300</v>
      </c>
      <c r="D33" s="57">
        <f>+S24</f>
        <v>8375</v>
      </c>
      <c r="E33" s="57">
        <f>SUM(B33:D33)</f>
        <v>39962.5</v>
      </c>
      <c r="F33" s="88"/>
      <c r="G33" s="88"/>
      <c r="H33" s="23"/>
    </row>
    <row r="34" spans="1:8" ht="15.75" thickBot="1" x14ac:dyDescent="0.3">
      <c r="A34" s="53" t="s">
        <v>11</v>
      </c>
      <c r="B34" s="54">
        <f t="shared" ref="B34:B37" si="12">+C25</f>
        <v>11925</v>
      </c>
      <c r="C34" s="57">
        <f t="shared" ref="C34:C37" si="13">+K25</f>
        <v>10437.5</v>
      </c>
      <c r="D34" s="57">
        <f t="shared" ref="D34:D37" si="14">+S25</f>
        <v>7150</v>
      </c>
      <c r="E34" s="57">
        <f t="shared" ref="E34:E37" si="15">SUM(B34:D34)</f>
        <v>29512.5</v>
      </c>
      <c r="F34" s="88"/>
      <c r="G34" s="88"/>
      <c r="H34" s="23"/>
    </row>
    <row r="35" spans="1:8" ht="15.75" thickBot="1" x14ac:dyDescent="0.3">
      <c r="A35" s="53" t="s">
        <v>8</v>
      </c>
      <c r="B35" s="54">
        <f t="shared" si="12"/>
        <v>50125</v>
      </c>
      <c r="C35" s="57">
        <f t="shared" si="13"/>
        <v>46487.5</v>
      </c>
      <c r="D35" s="57">
        <f t="shared" si="14"/>
        <v>24162.5</v>
      </c>
      <c r="E35" s="57">
        <f t="shared" si="15"/>
        <v>120775</v>
      </c>
      <c r="F35" s="88"/>
      <c r="G35" s="88"/>
      <c r="H35" s="23"/>
    </row>
    <row r="36" spans="1:8" ht="15.75" thickBot="1" x14ac:dyDescent="0.3">
      <c r="A36" s="53" t="s">
        <v>9</v>
      </c>
      <c r="B36" s="54">
        <f t="shared" si="12"/>
        <v>34725</v>
      </c>
      <c r="C36" s="57">
        <f t="shared" si="13"/>
        <v>30425</v>
      </c>
      <c r="D36" s="57">
        <f t="shared" si="14"/>
        <v>12612.5</v>
      </c>
      <c r="E36" s="57">
        <f t="shared" si="15"/>
        <v>77762.5</v>
      </c>
      <c r="F36" s="88"/>
      <c r="G36" s="88"/>
      <c r="H36" s="23"/>
    </row>
    <row r="37" spans="1:8" ht="15.75" thickBot="1" x14ac:dyDescent="0.3">
      <c r="A37" s="53" t="s">
        <v>12</v>
      </c>
      <c r="B37" s="54">
        <f t="shared" si="12"/>
        <v>9887.5</v>
      </c>
      <c r="C37" s="57">
        <f t="shared" si="13"/>
        <v>9762.5</v>
      </c>
      <c r="D37" s="57">
        <f t="shared" si="14"/>
        <v>4875</v>
      </c>
      <c r="E37" s="57">
        <f t="shared" si="15"/>
        <v>24525</v>
      </c>
      <c r="F37" s="88"/>
      <c r="G37" s="88"/>
      <c r="H37" s="23"/>
    </row>
    <row r="38" spans="1:8" ht="15.75" thickBot="1" x14ac:dyDescent="0.3">
      <c r="A38" s="53" t="s">
        <v>87</v>
      </c>
      <c r="B38" s="54">
        <f>SUM(B33:B37)</f>
        <v>121950</v>
      </c>
      <c r="C38" s="54">
        <f t="shared" ref="C38:E38" si="16">SUM(C33:C37)</f>
        <v>113412.5</v>
      </c>
      <c r="D38" s="54">
        <f t="shared" si="16"/>
        <v>57175</v>
      </c>
      <c r="E38" s="54">
        <f t="shared" si="16"/>
        <v>292537.5</v>
      </c>
      <c r="F38" s="88"/>
      <c r="G38" s="88"/>
      <c r="H38" s="23"/>
    </row>
    <row r="39" spans="1:8" x14ac:dyDescent="0.25">
      <c r="A39" s="23"/>
      <c r="B39" s="23"/>
      <c r="C39" s="23"/>
      <c r="D39" s="23"/>
      <c r="E39" s="23"/>
      <c r="F39" s="23"/>
      <c r="G39" s="23"/>
      <c r="H39" s="23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workbookViewId="0">
      <selection activeCell="C25" sqref="C25"/>
    </sheetView>
  </sheetViews>
  <sheetFormatPr defaultColWidth="9.140625" defaultRowHeight="15" x14ac:dyDescent="0.25"/>
  <cols>
    <col min="1" max="1" width="4" style="1" customWidth="1"/>
    <col min="2" max="2" width="11.7109375" style="1" customWidth="1"/>
    <col min="3" max="3" width="11.28515625" style="1" customWidth="1"/>
    <col min="4" max="4" width="11.140625" style="1" customWidth="1"/>
    <col min="5" max="5" width="11" style="1" customWidth="1"/>
    <col min="6" max="6" width="11.28515625" style="1" customWidth="1"/>
    <col min="7" max="7" width="12" style="1" customWidth="1"/>
    <col min="8" max="8" width="10.5703125" style="1" bestFit="1" customWidth="1"/>
    <col min="9" max="10" width="9.140625" style="1"/>
    <col min="11" max="11" width="8.42578125" style="1" bestFit="1" customWidth="1"/>
    <col min="12" max="16384" width="9.140625" style="1"/>
  </cols>
  <sheetData>
    <row r="1" spans="1:11" x14ac:dyDescent="0.25">
      <c r="A1" s="3" t="s">
        <v>19</v>
      </c>
    </row>
    <row r="2" spans="1:11" x14ac:dyDescent="0.25">
      <c r="A2" s="3" t="s">
        <v>89</v>
      </c>
    </row>
    <row r="4" spans="1:11" x14ac:dyDescent="0.25">
      <c r="A4" s="3" t="s">
        <v>0</v>
      </c>
      <c r="B4" s="2"/>
      <c r="C4" s="2"/>
      <c r="D4" s="2"/>
      <c r="E4" s="2"/>
      <c r="F4" s="2"/>
      <c r="G4" s="2"/>
    </row>
    <row r="5" spans="1:11" x14ac:dyDescent="0.25">
      <c r="A5" s="3"/>
      <c r="B5" s="3" t="s">
        <v>1</v>
      </c>
      <c r="C5" s="2"/>
      <c r="D5" s="2"/>
      <c r="E5" s="2"/>
      <c r="F5" s="2"/>
      <c r="G5" s="2"/>
    </row>
    <row r="6" spans="1:11" x14ac:dyDescent="0.25">
      <c r="A6" s="3"/>
      <c r="B6" s="14" t="s">
        <v>138</v>
      </c>
      <c r="C6" s="2"/>
      <c r="D6" s="2"/>
      <c r="E6" s="2"/>
      <c r="F6" s="2"/>
      <c r="G6" s="2"/>
    </row>
    <row r="7" spans="1:11" x14ac:dyDescent="0.25">
      <c r="A7" s="3"/>
      <c r="B7" s="14" t="s">
        <v>139</v>
      </c>
      <c r="C7" s="17"/>
      <c r="D7" s="17"/>
      <c r="E7" s="17"/>
      <c r="F7" s="2"/>
      <c r="G7" s="2"/>
    </row>
    <row r="8" spans="1:11" x14ac:dyDescent="0.25">
      <c r="A8" s="3"/>
      <c r="B8" s="14" t="s">
        <v>2</v>
      </c>
      <c r="C8" s="2"/>
      <c r="D8" s="2"/>
      <c r="E8" s="2"/>
      <c r="F8" s="2"/>
      <c r="G8" s="2"/>
    </row>
    <row r="9" spans="1:11" x14ac:dyDescent="0.25">
      <c r="A9" s="3"/>
      <c r="B9" s="14" t="s">
        <v>143</v>
      </c>
      <c r="F9" s="2"/>
      <c r="G9" s="2"/>
    </row>
    <row r="10" spans="1:11" ht="15.75" thickBot="1" x14ac:dyDescent="0.3">
      <c r="A10" s="3"/>
      <c r="B10" s="14"/>
      <c r="F10" s="2"/>
      <c r="G10" s="2"/>
    </row>
    <row r="11" spans="1:11" ht="15.75" thickBot="1" x14ac:dyDescent="0.3">
      <c r="A11" s="3"/>
      <c r="B11" s="14"/>
      <c r="C11" s="162" t="s">
        <v>141</v>
      </c>
      <c r="D11" s="163"/>
      <c r="E11" s="164"/>
      <c r="F11" s="162" t="s">
        <v>142</v>
      </c>
      <c r="G11" s="163"/>
      <c r="H11" s="164"/>
      <c r="I11" s="162" t="s">
        <v>144</v>
      </c>
      <c r="J11" s="163"/>
      <c r="K11" s="164"/>
    </row>
    <row r="12" spans="1:11" ht="15.75" thickBot="1" x14ac:dyDescent="0.3">
      <c r="A12" s="3"/>
      <c r="B12" s="14"/>
      <c r="C12" s="118" t="s">
        <v>127</v>
      </c>
      <c r="D12" s="118" t="s">
        <v>128</v>
      </c>
      <c r="E12" s="118" t="s">
        <v>16</v>
      </c>
      <c r="F12" s="118" t="s">
        <v>127</v>
      </c>
      <c r="G12" s="118" t="s">
        <v>128</v>
      </c>
      <c r="H12" s="118" t="s">
        <v>16</v>
      </c>
      <c r="I12" s="118" t="s">
        <v>127</v>
      </c>
      <c r="J12" s="118" t="s">
        <v>128</v>
      </c>
      <c r="K12" s="118" t="s">
        <v>16</v>
      </c>
    </row>
    <row r="13" spans="1:11" x14ac:dyDescent="0.25">
      <c r="A13" s="3"/>
      <c r="B13" s="14" t="s">
        <v>99</v>
      </c>
      <c r="C13" s="127">
        <f>+'[1]Facility Fee'!$F$33</f>
        <v>1605</v>
      </c>
      <c r="D13" s="37">
        <f>+'[1]Facility Fee'!$O$33</f>
        <v>1375</v>
      </c>
      <c r="E13" s="128">
        <f>+'[1]Facility Fee'!$W$33</f>
        <v>611</v>
      </c>
      <c r="F13" s="153">
        <f>+C13/C15</f>
        <v>0.68472696245733788</v>
      </c>
      <c r="G13" s="154">
        <f t="shared" ref="G13:H13" si="0">+D13/D15</f>
        <v>0.6550738446879466</v>
      </c>
      <c r="H13" s="155">
        <f t="shared" si="0"/>
        <v>0.56521739130434778</v>
      </c>
      <c r="I13" s="153">
        <f>+F13*1.2</f>
        <v>0.82167235494880542</v>
      </c>
      <c r="J13" s="153">
        <f t="shared" ref="J13:K13" si="1">+G13*1.2</f>
        <v>0.78608861362553595</v>
      </c>
      <c r="K13" s="153">
        <f t="shared" si="1"/>
        <v>0.67826086956521736</v>
      </c>
    </row>
    <row r="14" spans="1:11" x14ac:dyDescent="0.25">
      <c r="A14" s="3"/>
      <c r="B14" s="14" t="s">
        <v>98</v>
      </c>
      <c r="C14" s="127">
        <f>+'[1]Facility Fee'!$F$34</f>
        <v>739</v>
      </c>
      <c r="D14" s="37">
        <f>+'[1]Facility Fee'!$O$34</f>
        <v>724</v>
      </c>
      <c r="E14" s="128">
        <f>+'[1]Facility Fee'!$W$34</f>
        <v>470</v>
      </c>
      <c r="F14" s="153">
        <f>+C14/C15</f>
        <v>0.31527303754266212</v>
      </c>
      <c r="G14" s="154">
        <f t="shared" ref="G14:H14" si="2">+D14/D15</f>
        <v>0.34492615531205334</v>
      </c>
      <c r="H14" s="155">
        <f t="shared" si="2"/>
        <v>0.43478260869565216</v>
      </c>
      <c r="I14" s="153">
        <v>0.18</v>
      </c>
      <c r="J14" s="154">
        <v>0.21</v>
      </c>
      <c r="K14" s="155">
        <v>0.32</v>
      </c>
    </row>
    <row r="15" spans="1:11" ht="15.75" thickBot="1" x14ac:dyDescent="0.3">
      <c r="A15" s="3"/>
      <c r="B15" s="14" t="s">
        <v>7</v>
      </c>
      <c r="C15" s="151">
        <f>SUM(C13:C14)</f>
        <v>2344</v>
      </c>
      <c r="D15" s="15">
        <f>SUM(D10:D14)</f>
        <v>2099</v>
      </c>
      <c r="E15" s="152">
        <f>SUM(E10:E14)</f>
        <v>1081</v>
      </c>
      <c r="F15" s="156">
        <f>SUM(F13:F14)</f>
        <v>1</v>
      </c>
      <c r="G15" s="157">
        <f>SUM(G10:G14)</f>
        <v>1</v>
      </c>
      <c r="H15" s="158">
        <f>SUM(H10:H14)</f>
        <v>1</v>
      </c>
      <c r="I15" s="156">
        <f>SUM(I13:I14)</f>
        <v>1.0016723549488054</v>
      </c>
      <c r="J15" s="157">
        <f>SUM(J10:J14)</f>
        <v>0.99608861362553591</v>
      </c>
      <c r="K15" s="158">
        <f>SUM(K10:K14)</f>
        <v>0.99826086956521731</v>
      </c>
    </row>
    <row r="16" spans="1:11" x14ac:dyDescent="0.25">
      <c r="A16" s="3"/>
      <c r="B16" s="14"/>
      <c r="F16" s="2"/>
      <c r="G16" s="2"/>
    </row>
    <row r="17" spans="1:13" x14ac:dyDescent="0.25">
      <c r="A17" s="3"/>
      <c r="B17" s="14"/>
      <c r="F17" s="2"/>
      <c r="G17" s="2"/>
    </row>
    <row r="18" spans="1:13" ht="15.75" thickBot="1" x14ac:dyDescent="0.3">
      <c r="A18" s="3"/>
      <c r="F18" s="2"/>
      <c r="G18" s="2"/>
    </row>
    <row r="19" spans="1:13" ht="15.75" thickBot="1" x14ac:dyDescent="0.3">
      <c r="A19" s="3"/>
      <c r="B19" s="19" t="s">
        <v>3</v>
      </c>
      <c r="C19" s="11"/>
      <c r="D19" s="11"/>
      <c r="E19" s="2"/>
      <c r="F19" s="2"/>
      <c r="G19" s="121">
        <v>2016</v>
      </c>
      <c r="H19" s="118">
        <v>2017</v>
      </c>
    </row>
    <row r="20" spans="1:13" x14ac:dyDescent="0.25">
      <c r="A20" s="3"/>
      <c r="B20" s="14" t="s">
        <v>4</v>
      </c>
      <c r="C20" s="11"/>
      <c r="D20" s="11"/>
      <c r="E20" s="2"/>
      <c r="F20" s="2"/>
      <c r="G20" s="11">
        <v>7245822</v>
      </c>
      <c r="H20" s="72">
        <f>+F69</f>
        <v>7595261.7728625014</v>
      </c>
    </row>
    <row r="21" spans="1:13" x14ac:dyDescent="0.25">
      <c r="A21" s="3"/>
      <c r="B21" s="14" t="s">
        <v>5</v>
      </c>
      <c r="C21" s="11"/>
      <c r="D21" s="11"/>
      <c r="E21" s="2"/>
      <c r="F21" s="2"/>
      <c r="G21" s="11">
        <v>280200</v>
      </c>
      <c r="H21" s="72">
        <f>+F78</f>
        <v>278962</v>
      </c>
    </row>
    <row r="22" spans="1:13" x14ac:dyDescent="0.25">
      <c r="A22" s="3"/>
      <c r="B22" s="14" t="s">
        <v>6</v>
      </c>
      <c r="C22" s="11"/>
      <c r="D22" s="11"/>
      <c r="E22" s="2"/>
      <c r="F22" s="2"/>
      <c r="G22" s="11">
        <v>876064</v>
      </c>
      <c r="H22" s="72">
        <f>+F95</f>
        <v>821088.48900000006</v>
      </c>
    </row>
    <row r="23" spans="1:13" ht="15.75" thickBot="1" x14ac:dyDescent="0.3">
      <c r="A23" s="3"/>
      <c r="B23" s="14"/>
      <c r="C23" s="11"/>
      <c r="D23" s="11"/>
      <c r="E23" s="2"/>
      <c r="F23" s="2"/>
      <c r="G23" s="16">
        <v>8402086</v>
      </c>
      <c r="H23" s="16">
        <f>SUM(H20:H22)</f>
        <v>8695312.2618625015</v>
      </c>
    </row>
    <row r="24" spans="1:13" ht="15.75" thickTop="1" x14ac:dyDescent="0.25">
      <c r="A24" s="3"/>
      <c r="B24" s="14"/>
      <c r="C24" s="11"/>
      <c r="D24" s="11"/>
      <c r="E24" s="2"/>
      <c r="F24" s="2"/>
      <c r="G24" s="113"/>
      <c r="H24" s="113"/>
    </row>
    <row r="25" spans="1:13" x14ac:dyDescent="0.25">
      <c r="A25" s="98" t="s">
        <v>112</v>
      </c>
      <c r="C25" s="2"/>
      <c r="D25" s="99"/>
      <c r="E25" s="99"/>
      <c r="F25" s="99"/>
      <c r="G25" s="2"/>
    </row>
    <row r="26" spans="1:13" x14ac:dyDescent="0.25">
      <c r="A26" s="98"/>
      <c r="B26" s="100"/>
      <c r="C26" s="101"/>
      <c r="D26" s="102"/>
      <c r="E26" s="102"/>
      <c r="F26" s="102"/>
      <c r="G26" s="101"/>
      <c r="I26" s="165" t="s">
        <v>137</v>
      </c>
      <c r="J26" s="166"/>
      <c r="K26" s="166"/>
      <c r="L26" s="166"/>
      <c r="M26" s="167"/>
    </row>
    <row r="27" spans="1:13" x14ac:dyDescent="0.25">
      <c r="A27" s="2"/>
      <c r="B27" s="103" t="s">
        <v>113</v>
      </c>
      <c r="C27" s="104" t="s">
        <v>125</v>
      </c>
      <c r="D27" s="104" t="s">
        <v>120</v>
      </c>
      <c r="E27" s="104" t="s">
        <v>124</v>
      </c>
      <c r="F27" s="104" t="s">
        <v>7</v>
      </c>
      <c r="G27" s="2"/>
      <c r="I27" s="103" t="s">
        <v>113</v>
      </c>
      <c r="J27" s="104" t="s">
        <v>125</v>
      </c>
      <c r="K27" s="104" t="s">
        <v>120</v>
      </c>
      <c r="L27" s="104" t="s">
        <v>124</v>
      </c>
      <c r="M27" s="104" t="s">
        <v>7</v>
      </c>
    </row>
    <row r="28" spans="1:13" x14ac:dyDescent="0.25">
      <c r="A28" s="105"/>
      <c r="B28" s="7" t="s">
        <v>8</v>
      </c>
      <c r="C28" s="5">
        <f>+J28*1.01</f>
        <v>264.62</v>
      </c>
      <c r="D28" s="5">
        <f t="shared" ref="D28:E28" si="3">+K28*1.01</f>
        <v>855.47</v>
      </c>
      <c r="E28" s="5">
        <f t="shared" si="3"/>
        <v>391.88</v>
      </c>
      <c r="F28" s="5">
        <f>SUM(C28:E28)</f>
        <v>1511.9700000000003</v>
      </c>
      <c r="G28" s="106"/>
      <c r="I28" s="7" t="s">
        <v>8</v>
      </c>
      <c r="J28" s="5">
        <v>262</v>
      </c>
      <c r="K28" s="5">
        <v>847</v>
      </c>
      <c r="L28" s="5">
        <v>388</v>
      </c>
      <c r="M28" s="5">
        <f>SUM(J28:L28)</f>
        <v>1497</v>
      </c>
    </row>
    <row r="29" spans="1:13" x14ac:dyDescent="0.25">
      <c r="A29" s="105"/>
      <c r="B29" s="7" t="s">
        <v>9</v>
      </c>
      <c r="C29" s="5">
        <f t="shared" ref="C29:C32" si="4">+J29*1.01</f>
        <v>225.23</v>
      </c>
      <c r="D29" s="5">
        <f t="shared" ref="D29:D32" si="5">+K29*1.01</f>
        <v>610.04</v>
      </c>
      <c r="E29" s="5">
        <f t="shared" ref="E29:E32" si="6">+L29*1.01</f>
        <v>322.19</v>
      </c>
      <c r="F29" s="5">
        <f t="shared" ref="F29:F32" si="7">SUM(C29:E29)</f>
        <v>1157.46</v>
      </c>
      <c r="G29" s="106"/>
      <c r="I29" s="7" t="s">
        <v>9</v>
      </c>
      <c r="J29" s="5">
        <v>223</v>
      </c>
      <c r="K29" s="5">
        <v>604</v>
      </c>
      <c r="L29" s="5">
        <v>319</v>
      </c>
      <c r="M29" s="5">
        <f t="shared" ref="M29:M32" si="8">SUM(J29:L29)</f>
        <v>1146</v>
      </c>
    </row>
    <row r="30" spans="1:13" s="111" customFormat="1" x14ac:dyDescent="0.25">
      <c r="A30" s="105"/>
      <c r="B30" s="7" t="s">
        <v>10</v>
      </c>
      <c r="C30" s="5">
        <f t="shared" si="4"/>
        <v>977.68000000000006</v>
      </c>
      <c r="D30" s="5">
        <f t="shared" si="5"/>
        <v>240.38</v>
      </c>
      <c r="E30" s="5">
        <f t="shared" si="6"/>
        <v>132.31</v>
      </c>
      <c r="F30" s="5">
        <f t="shared" si="7"/>
        <v>1350.37</v>
      </c>
      <c r="I30" s="7" t="s">
        <v>10</v>
      </c>
      <c r="J30" s="5">
        <v>968</v>
      </c>
      <c r="K30" s="5">
        <v>238</v>
      </c>
      <c r="L30" s="5">
        <v>131</v>
      </c>
      <c r="M30" s="5">
        <f t="shared" si="8"/>
        <v>1337</v>
      </c>
    </row>
    <row r="31" spans="1:13" x14ac:dyDescent="0.25">
      <c r="A31" s="105"/>
      <c r="B31" s="7" t="s">
        <v>11</v>
      </c>
      <c r="C31" s="5">
        <f t="shared" si="4"/>
        <v>710.03</v>
      </c>
      <c r="D31" s="5">
        <f t="shared" si="5"/>
        <v>220.18</v>
      </c>
      <c r="E31" s="5">
        <f t="shared" si="6"/>
        <v>168.67</v>
      </c>
      <c r="F31" s="5">
        <f t="shared" si="7"/>
        <v>1098.8800000000001</v>
      </c>
      <c r="G31" s="106"/>
      <c r="I31" s="7" t="s">
        <v>11</v>
      </c>
      <c r="J31" s="5">
        <v>703</v>
      </c>
      <c r="K31" s="5">
        <v>218</v>
      </c>
      <c r="L31" s="5">
        <v>167</v>
      </c>
      <c r="M31" s="5">
        <f t="shared" si="8"/>
        <v>1088</v>
      </c>
    </row>
    <row r="32" spans="1:13" x14ac:dyDescent="0.25">
      <c r="A32" s="105"/>
      <c r="B32" s="7" t="s">
        <v>12</v>
      </c>
      <c r="C32" s="5">
        <f t="shared" si="4"/>
        <v>189.88</v>
      </c>
      <c r="D32" s="5">
        <f t="shared" si="5"/>
        <v>193.92000000000002</v>
      </c>
      <c r="E32" s="5">
        <f t="shared" si="6"/>
        <v>76.760000000000005</v>
      </c>
      <c r="F32" s="5">
        <f t="shared" si="7"/>
        <v>460.56</v>
      </c>
      <c r="I32" s="7" t="s">
        <v>12</v>
      </c>
      <c r="J32" s="5">
        <v>188</v>
      </c>
      <c r="K32" s="5">
        <v>192</v>
      </c>
      <c r="L32" s="5">
        <v>76</v>
      </c>
      <c r="M32" s="5">
        <f t="shared" si="8"/>
        <v>456</v>
      </c>
    </row>
    <row r="33" spans="1:13" x14ac:dyDescent="0.25">
      <c r="A33" s="105"/>
      <c r="B33" s="8" t="s">
        <v>7</v>
      </c>
      <c r="C33" s="6">
        <f>SUM(C28:C32)</f>
        <v>2367.4400000000005</v>
      </c>
      <c r="D33" s="6">
        <f>SUM(D28:D32)</f>
        <v>2119.9899999999998</v>
      </c>
      <c r="E33" s="6">
        <f>SUM(E28:E32)</f>
        <v>1091.81</v>
      </c>
      <c r="F33" s="6">
        <f>SUM(F28:F32)</f>
        <v>5579.2400000000007</v>
      </c>
      <c r="I33" s="8" t="s">
        <v>7</v>
      </c>
      <c r="J33" s="6">
        <f>SUM(J28:J32)</f>
        <v>2344</v>
      </c>
      <c r="K33" s="6">
        <f>SUM(K28:K32)</f>
        <v>2099</v>
      </c>
      <c r="L33" s="6">
        <f>SUM(L28:L32)</f>
        <v>1081</v>
      </c>
      <c r="M33" s="6">
        <f>SUM(M28:M32)</f>
        <v>5524</v>
      </c>
    </row>
    <row r="35" spans="1:13" x14ac:dyDescent="0.25">
      <c r="A35" s="98" t="s">
        <v>121</v>
      </c>
      <c r="C35" s="2"/>
      <c r="D35" s="99"/>
      <c r="E35" s="99"/>
      <c r="F35" s="99"/>
    </row>
    <row r="36" spans="1:13" x14ac:dyDescent="0.25">
      <c r="A36" s="98"/>
      <c r="B36" s="100"/>
      <c r="C36" s="2"/>
      <c r="D36" s="99"/>
      <c r="E36" s="99"/>
      <c r="F36" s="99"/>
      <c r="I36" s="165" t="s">
        <v>137</v>
      </c>
      <c r="J36" s="166"/>
      <c r="K36" s="166"/>
      <c r="L36" s="166"/>
      <c r="M36" s="167"/>
    </row>
    <row r="37" spans="1:13" x14ac:dyDescent="0.25">
      <c r="A37" s="2"/>
      <c r="B37" s="103" t="s">
        <v>113</v>
      </c>
      <c r="C37" s="104" t="s">
        <v>125</v>
      </c>
      <c r="D37" s="104" t="s">
        <v>120</v>
      </c>
      <c r="E37" s="104" t="s">
        <v>124</v>
      </c>
      <c r="I37" s="103" t="s">
        <v>113</v>
      </c>
      <c r="J37" s="104" t="s">
        <v>125</v>
      </c>
      <c r="K37" s="104" t="s">
        <v>120</v>
      </c>
      <c r="L37" s="104" t="s">
        <v>124</v>
      </c>
    </row>
    <row r="38" spans="1:13" x14ac:dyDescent="0.25">
      <c r="A38" s="105"/>
      <c r="B38" s="7" t="s">
        <v>8</v>
      </c>
      <c r="C38" s="107">
        <f>+J38*1.1</f>
        <v>13.750000000000002</v>
      </c>
      <c r="D38" s="107">
        <f t="shared" ref="D38:E42" si="9">+K38*1.1</f>
        <v>13.750000000000002</v>
      </c>
      <c r="E38" s="107">
        <f t="shared" si="9"/>
        <v>5.7200000000000006</v>
      </c>
      <c r="I38" s="7" t="s">
        <v>8</v>
      </c>
      <c r="J38" s="107">
        <v>12.5</v>
      </c>
      <c r="K38" s="107">
        <v>12.5</v>
      </c>
      <c r="L38" s="107">
        <v>5.2</v>
      </c>
    </row>
    <row r="39" spans="1:13" x14ac:dyDescent="0.25">
      <c r="A39" s="105"/>
      <c r="B39" s="7" t="s">
        <v>9</v>
      </c>
      <c r="C39" s="107">
        <f t="shared" ref="C39:C42" si="10">+J39*1.1</f>
        <v>11.22</v>
      </c>
      <c r="D39" s="107">
        <f t="shared" si="9"/>
        <v>11.990000000000002</v>
      </c>
      <c r="E39" s="107">
        <f t="shared" si="9"/>
        <v>5.3900000000000006</v>
      </c>
      <c r="I39" s="7" t="s">
        <v>9</v>
      </c>
      <c r="J39" s="107">
        <v>10.199999999999999</v>
      </c>
      <c r="K39" s="107">
        <v>10.9</v>
      </c>
      <c r="L39" s="107">
        <v>4.9000000000000004</v>
      </c>
    </row>
    <row r="40" spans="1:13" x14ac:dyDescent="0.25">
      <c r="A40" s="105"/>
      <c r="B40" s="7" t="s">
        <v>10</v>
      </c>
      <c r="C40" s="107">
        <f t="shared" si="10"/>
        <v>12.870000000000001</v>
      </c>
      <c r="D40" s="107">
        <f t="shared" si="9"/>
        <v>12.980000000000002</v>
      </c>
      <c r="E40" s="107">
        <f t="shared" si="9"/>
        <v>6.38</v>
      </c>
      <c r="I40" s="7" t="s">
        <v>10</v>
      </c>
      <c r="J40" s="107">
        <v>11.7</v>
      </c>
      <c r="K40" s="107">
        <v>11.8</v>
      </c>
      <c r="L40" s="107">
        <v>5.8</v>
      </c>
    </row>
    <row r="41" spans="1:13" x14ac:dyDescent="0.25">
      <c r="A41" s="105"/>
      <c r="B41" s="7" t="s">
        <v>11</v>
      </c>
      <c r="C41" s="107">
        <f t="shared" si="10"/>
        <v>9.9</v>
      </c>
      <c r="D41" s="107">
        <f t="shared" si="9"/>
        <v>10.340000000000002</v>
      </c>
      <c r="E41" s="107">
        <f t="shared" si="9"/>
        <v>5.83</v>
      </c>
      <c r="F41" s="108"/>
      <c r="G41" s="108"/>
      <c r="I41" s="7" t="s">
        <v>11</v>
      </c>
      <c r="J41" s="109">
        <v>9</v>
      </c>
      <c r="K41" s="107">
        <v>9.4</v>
      </c>
      <c r="L41" s="107">
        <v>5.3</v>
      </c>
    </row>
    <row r="42" spans="1:13" x14ac:dyDescent="0.25">
      <c r="A42" s="105"/>
      <c r="B42" s="7" t="s">
        <v>12</v>
      </c>
      <c r="C42" s="107">
        <f t="shared" si="10"/>
        <v>11.55</v>
      </c>
      <c r="D42" s="107">
        <f t="shared" si="9"/>
        <v>11.22</v>
      </c>
      <c r="E42" s="107">
        <f t="shared" si="9"/>
        <v>5.1700000000000008</v>
      </c>
      <c r="I42" s="7" t="s">
        <v>12</v>
      </c>
      <c r="J42" s="109">
        <v>10.5</v>
      </c>
      <c r="K42" s="107">
        <v>10.199999999999999</v>
      </c>
      <c r="L42" s="107">
        <v>4.7</v>
      </c>
    </row>
    <row r="43" spans="1:13" x14ac:dyDescent="0.25">
      <c r="A43" s="105"/>
      <c r="B43" s="8" t="s">
        <v>122</v>
      </c>
      <c r="C43" s="110">
        <f>SUM(C38:C42)/5</f>
        <v>11.858000000000001</v>
      </c>
      <c r="D43" s="110">
        <f>SUM(D38:D42)/5</f>
        <v>12.056000000000001</v>
      </c>
      <c r="E43" s="110">
        <f>SUM(E38:E42)/5</f>
        <v>5.6980000000000004</v>
      </c>
      <c r="I43" s="8" t="s">
        <v>122</v>
      </c>
      <c r="J43" s="110">
        <f>SUM(J38:J42)/5</f>
        <v>10.78</v>
      </c>
      <c r="K43" s="110">
        <f>SUM(K38:K42)/5</f>
        <v>10.959999999999999</v>
      </c>
      <c r="L43" s="110">
        <f>SUM(L38:L42)/5</f>
        <v>5.1800000000000006</v>
      </c>
    </row>
    <row r="45" spans="1:13" x14ac:dyDescent="0.25">
      <c r="A45" s="98" t="s">
        <v>123</v>
      </c>
    </row>
    <row r="46" spans="1:13" x14ac:dyDescent="0.25">
      <c r="B46" s="103" t="s">
        <v>113</v>
      </c>
      <c r="C46" s="104" t="s">
        <v>114</v>
      </c>
      <c r="D46" s="104" t="s">
        <v>115</v>
      </c>
      <c r="E46" s="104" t="s">
        <v>116</v>
      </c>
      <c r="F46" s="104" t="s">
        <v>7</v>
      </c>
    </row>
    <row r="47" spans="1:13" x14ac:dyDescent="0.25">
      <c r="B47" s="7" t="s">
        <v>8</v>
      </c>
      <c r="C47" s="5">
        <f>+C28*C38</f>
        <v>3638.5250000000005</v>
      </c>
      <c r="D47" s="5">
        <f t="shared" ref="D47:E47" si="11">+D28*D38</f>
        <v>11762.712500000001</v>
      </c>
      <c r="E47" s="5">
        <f t="shared" si="11"/>
        <v>2241.5536000000002</v>
      </c>
      <c r="F47" s="5">
        <f>SUM(C47:E47)</f>
        <v>17642.791100000002</v>
      </c>
    </row>
    <row r="48" spans="1:13" x14ac:dyDescent="0.25">
      <c r="B48" s="7" t="s">
        <v>9</v>
      </c>
      <c r="C48" s="5">
        <f t="shared" ref="C48:E51" si="12">+C29*C39</f>
        <v>2527.0806000000002</v>
      </c>
      <c r="D48" s="5">
        <f t="shared" si="12"/>
        <v>7314.3796000000011</v>
      </c>
      <c r="E48" s="5">
        <f t="shared" si="12"/>
        <v>1736.6041000000002</v>
      </c>
      <c r="F48" s="5">
        <f t="shared" ref="F48:F51" si="13">SUM(C48:E48)</f>
        <v>11578.064300000002</v>
      </c>
    </row>
    <row r="49" spans="1:6" x14ac:dyDescent="0.25">
      <c r="B49" s="7" t="s">
        <v>10</v>
      </c>
      <c r="C49" s="5">
        <f t="shared" si="12"/>
        <v>12582.741600000001</v>
      </c>
      <c r="D49" s="5">
        <f t="shared" si="12"/>
        <v>3120.1324000000004</v>
      </c>
      <c r="E49" s="5">
        <f t="shared" si="12"/>
        <v>844.13779999999997</v>
      </c>
      <c r="F49" s="5">
        <f t="shared" si="13"/>
        <v>16547.0118</v>
      </c>
    </row>
    <row r="50" spans="1:6" x14ac:dyDescent="0.25">
      <c r="B50" s="7" t="s">
        <v>11</v>
      </c>
      <c r="C50" s="5">
        <f t="shared" si="12"/>
        <v>7029.2969999999996</v>
      </c>
      <c r="D50" s="5">
        <f t="shared" si="12"/>
        <v>2276.6612000000005</v>
      </c>
      <c r="E50" s="5">
        <f t="shared" si="12"/>
        <v>983.34609999999998</v>
      </c>
      <c r="F50" s="5">
        <f t="shared" si="13"/>
        <v>10289.304300000002</v>
      </c>
    </row>
    <row r="51" spans="1:6" x14ac:dyDescent="0.25">
      <c r="B51" s="7" t="s">
        <v>12</v>
      </c>
      <c r="C51" s="5">
        <f t="shared" si="12"/>
        <v>2193.114</v>
      </c>
      <c r="D51" s="5">
        <f t="shared" si="12"/>
        <v>2175.7824000000005</v>
      </c>
      <c r="E51" s="5">
        <f t="shared" si="12"/>
        <v>396.84920000000011</v>
      </c>
      <c r="F51" s="5">
        <f t="shared" si="13"/>
        <v>4765.7456000000002</v>
      </c>
    </row>
    <row r="52" spans="1:6" x14ac:dyDescent="0.25">
      <c r="B52" s="8" t="s">
        <v>7</v>
      </c>
      <c r="C52" s="6">
        <f>SUM(C47:C51)</f>
        <v>27970.758200000004</v>
      </c>
      <c r="D52" s="6">
        <f t="shared" ref="D52:F52" si="14">SUM(D47:D51)</f>
        <v>26649.668100000006</v>
      </c>
      <c r="E52" s="6">
        <f t="shared" si="14"/>
        <v>6202.4907999999996</v>
      </c>
      <c r="F52" s="6">
        <f t="shared" si="14"/>
        <v>60822.917100000013</v>
      </c>
    </row>
    <row r="54" spans="1:6" x14ac:dyDescent="0.25">
      <c r="A54" s="98" t="s">
        <v>117</v>
      </c>
    </row>
    <row r="55" spans="1:6" x14ac:dyDescent="0.25">
      <c r="B55" s="13" t="s">
        <v>118</v>
      </c>
    </row>
    <row r="56" spans="1:6" x14ac:dyDescent="0.25">
      <c r="B56" s="7" t="s">
        <v>8</v>
      </c>
      <c r="C56" s="5">
        <f>+C47*135</f>
        <v>491200.87500000006</v>
      </c>
      <c r="D56" s="5">
        <f t="shared" ref="D56:E56" si="15">+D47*135</f>
        <v>1587966.1875000002</v>
      </c>
      <c r="E56" s="5">
        <f t="shared" si="15"/>
        <v>302609.73600000003</v>
      </c>
      <c r="F56" s="5">
        <f>SUM(C56:E56)</f>
        <v>2381776.7985000005</v>
      </c>
    </row>
    <row r="57" spans="1:6" x14ac:dyDescent="0.25">
      <c r="B57" s="7" t="s">
        <v>9</v>
      </c>
      <c r="C57" s="5">
        <f t="shared" ref="C57:E60" si="16">+C48*135</f>
        <v>341155.88100000005</v>
      </c>
      <c r="D57" s="5">
        <f t="shared" si="16"/>
        <v>987441.24600000016</v>
      </c>
      <c r="E57" s="5">
        <f t="shared" si="16"/>
        <v>234441.55350000004</v>
      </c>
      <c r="F57" s="5">
        <f t="shared" ref="F57:F60" si="17">SUM(C57:E57)</f>
        <v>1563038.6805000002</v>
      </c>
    </row>
    <row r="58" spans="1:6" x14ac:dyDescent="0.25">
      <c r="B58" s="7" t="s">
        <v>10</v>
      </c>
      <c r="C58" s="5">
        <f t="shared" si="16"/>
        <v>1698670.1160000002</v>
      </c>
      <c r="D58" s="5">
        <f t="shared" si="16"/>
        <v>421217.87400000007</v>
      </c>
      <c r="E58" s="5">
        <f t="shared" si="16"/>
        <v>113958.603</v>
      </c>
      <c r="F58" s="5">
        <f t="shared" si="17"/>
        <v>2233846.5930000003</v>
      </c>
    </row>
    <row r="59" spans="1:6" x14ac:dyDescent="0.25">
      <c r="B59" s="7" t="s">
        <v>11</v>
      </c>
      <c r="C59" s="5">
        <f t="shared" si="16"/>
        <v>948955.09499999997</v>
      </c>
      <c r="D59" s="5">
        <f t="shared" si="16"/>
        <v>307349.26200000005</v>
      </c>
      <c r="E59" s="5">
        <f t="shared" si="16"/>
        <v>132751.72349999999</v>
      </c>
      <c r="F59" s="5">
        <f t="shared" si="17"/>
        <v>1389056.0805000002</v>
      </c>
    </row>
    <row r="60" spans="1:6" x14ac:dyDescent="0.25">
      <c r="B60" s="7" t="s">
        <v>12</v>
      </c>
      <c r="C60" s="5">
        <f t="shared" si="16"/>
        <v>296070.39</v>
      </c>
      <c r="D60" s="5">
        <f t="shared" si="16"/>
        <v>293730.62400000007</v>
      </c>
      <c r="E60" s="5">
        <f t="shared" si="16"/>
        <v>53574.642000000014</v>
      </c>
      <c r="F60" s="5">
        <f t="shared" si="17"/>
        <v>643375.65600000008</v>
      </c>
    </row>
    <row r="61" spans="1:6" x14ac:dyDescent="0.25">
      <c r="B61" s="8" t="s">
        <v>7</v>
      </c>
      <c r="C61" s="6">
        <f>SUM(C56:C60)</f>
        <v>3776052.3570000003</v>
      </c>
      <c r="D61" s="6">
        <f t="shared" ref="D61:F61" si="18">SUM(D56:D60)</f>
        <v>3597705.1935000001</v>
      </c>
      <c r="E61" s="6">
        <f t="shared" si="18"/>
        <v>837336.25800000003</v>
      </c>
      <c r="F61" s="6">
        <f t="shared" si="18"/>
        <v>8211093.8085000012</v>
      </c>
    </row>
    <row r="63" spans="1:6" x14ac:dyDescent="0.25">
      <c r="B63" s="13" t="s">
        <v>13</v>
      </c>
    </row>
    <row r="64" spans="1:6" x14ac:dyDescent="0.25">
      <c r="B64" s="7" t="s">
        <v>8</v>
      </c>
      <c r="C64" s="5">
        <f>+C56*0.925</f>
        <v>454360.80937500007</v>
      </c>
      <c r="D64" s="5">
        <f t="shared" ref="D64:E64" si="19">+D56*0.925</f>
        <v>1468868.7234375002</v>
      </c>
      <c r="E64" s="5">
        <f t="shared" si="19"/>
        <v>279914.00580000004</v>
      </c>
      <c r="F64" s="5">
        <f>SUM(C64:E64)</f>
        <v>2203143.5386125003</v>
      </c>
    </row>
    <row r="65" spans="1:7" x14ac:dyDescent="0.25">
      <c r="B65" s="7" t="s">
        <v>9</v>
      </c>
      <c r="C65" s="5">
        <f t="shared" ref="C65:E68" si="20">+C57*0.925</f>
        <v>315569.18992500007</v>
      </c>
      <c r="D65" s="5">
        <f t="shared" si="20"/>
        <v>913383.15255000023</v>
      </c>
      <c r="E65" s="5">
        <f t="shared" si="20"/>
        <v>216858.43698750006</v>
      </c>
      <c r="F65" s="5">
        <f t="shared" ref="F65:F68" si="21">SUM(C65:E65)</f>
        <v>1445810.7794625005</v>
      </c>
    </row>
    <row r="66" spans="1:7" x14ac:dyDescent="0.25">
      <c r="B66" s="7" t="s">
        <v>10</v>
      </c>
      <c r="C66" s="5">
        <f t="shared" si="20"/>
        <v>1571269.8573000003</v>
      </c>
      <c r="D66" s="5">
        <f t="shared" si="20"/>
        <v>389626.5334500001</v>
      </c>
      <c r="E66" s="5">
        <f t="shared" si="20"/>
        <v>105411.707775</v>
      </c>
      <c r="F66" s="5">
        <f t="shared" si="21"/>
        <v>2066308.0985250003</v>
      </c>
    </row>
    <row r="67" spans="1:7" x14ac:dyDescent="0.25">
      <c r="B67" s="7" t="s">
        <v>11</v>
      </c>
      <c r="C67" s="5">
        <f t="shared" si="20"/>
        <v>877783.46287499997</v>
      </c>
      <c r="D67" s="5">
        <f t="shared" si="20"/>
        <v>284298.06735000008</v>
      </c>
      <c r="E67" s="5">
        <f t="shared" si="20"/>
        <v>122795.3442375</v>
      </c>
      <c r="F67" s="5">
        <f t="shared" si="21"/>
        <v>1284876.8744625002</v>
      </c>
    </row>
    <row r="68" spans="1:7" x14ac:dyDescent="0.25">
      <c r="B68" s="7" t="s">
        <v>12</v>
      </c>
      <c r="C68" s="5">
        <f t="shared" si="20"/>
        <v>273865.11075000005</v>
      </c>
      <c r="D68" s="5">
        <f t="shared" si="20"/>
        <v>271700.82720000006</v>
      </c>
      <c r="E68" s="5">
        <f t="shared" si="20"/>
        <v>49556.543850000016</v>
      </c>
      <c r="F68" s="5">
        <f t="shared" si="21"/>
        <v>595122.48180000018</v>
      </c>
    </row>
    <row r="69" spans="1:7" ht="15.75" thickBot="1" x14ac:dyDescent="0.3">
      <c r="B69" s="8" t="s">
        <v>7</v>
      </c>
      <c r="C69" s="15">
        <f>SUM(C64:C68)</f>
        <v>3492848.4302250007</v>
      </c>
      <c r="D69" s="15">
        <f t="shared" ref="D69:F69" si="22">SUM(D64:D68)</f>
        <v>3327877.3039875007</v>
      </c>
      <c r="E69" s="15">
        <f t="shared" si="22"/>
        <v>774536.03865000012</v>
      </c>
      <c r="F69" s="15">
        <f t="shared" si="22"/>
        <v>7595261.7728625014</v>
      </c>
    </row>
    <row r="70" spans="1:7" x14ac:dyDescent="0.25">
      <c r="B70" s="8"/>
      <c r="C70" s="119"/>
      <c r="D70" s="119"/>
      <c r="E70" s="119"/>
      <c r="F70" s="119"/>
    </row>
    <row r="71" spans="1:7" x14ac:dyDescent="0.25">
      <c r="A71" s="120"/>
      <c r="B71" s="120"/>
      <c r="C71" s="120"/>
      <c r="D71" s="120"/>
      <c r="E71" s="120"/>
      <c r="F71" s="120"/>
      <c r="G71" s="120"/>
    </row>
    <row r="72" spans="1:7" x14ac:dyDescent="0.25">
      <c r="A72" s="98" t="s">
        <v>119</v>
      </c>
    </row>
    <row r="73" spans="1:7" x14ac:dyDescent="0.25">
      <c r="B73" s="7" t="s">
        <v>8</v>
      </c>
      <c r="C73" s="5">
        <f>+C28*50</f>
        <v>13231</v>
      </c>
      <c r="D73" s="5">
        <f t="shared" ref="D73:E77" si="23">+D28*50</f>
        <v>42773.5</v>
      </c>
      <c r="E73" s="5">
        <f t="shared" si="23"/>
        <v>19594</v>
      </c>
      <c r="F73" s="5">
        <f>SUM(C73:E73)</f>
        <v>75598.5</v>
      </c>
    </row>
    <row r="74" spans="1:7" x14ac:dyDescent="0.25">
      <c r="B74" s="7" t="s">
        <v>9</v>
      </c>
      <c r="C74" s="5">
        <f>+C29*50</f>
        <v>11261.5</v>
      </c>
      <c r="D74" s="5">
        <f t="shared" si="23"/>
        <v>30502</v>
      </c>
      <c r="E74" s="5">
        <f t="shared" si="23"/>
        <v>16109.5</v>
      </c>
      <c r="F74" s="5">
        <f t="shared" ref="F74:F77" si="24">SUM(C74:E74)</f>
        <v>57873</v>
      </c>
    </row>
    <row r="75" spans="1:7" x14ac:dyDescent="0.25">
      <c r="B75" s="7" t="s">
        <v>10</v>
      </c>
      <c r="C75" s="5">
        <f>+C30*50</f>
        <v>48884</v>
      </c>
      <c r="D75" s="5">
        <f t="shared" si="23"/>
        <v>12019</v>
      </c>
      <c r="E75" s="5">
        <f t="shared" si="23"/>
        <v>6615.5</v>
      </c>
      <c r="F75" s="5">
        <f t="shared" si="24"/>
        <v>67518.5</v>
      </c>
    </row>
    <row r="76" spans="1:7" x14ac:dyDescent="0.25">
      <c r="B76" s="7" t="s">
        <v>11</v>
      </c>
      <c r="C76" s="5">
        <f>+C31*50</f>
        <v>35501.5</v>
      </c>
      <c r="D76" s="5">
        <f t="shared" si="23"/>
        <v>11009</v>
      </c>
      <c r="E76" s="5">
        <f t="shared" si="23"/>
        <v>8433.5</v>
      </c>
      <c r="F76" s="5">
        <f t="shared" si="24"/>
        <v>54944</v>
      </c>
    </row>
    <row r="77" spans="1:7" x14ac:dyDescent="0.25">
      <c r="B77" s="7" t="s">
        <v>12</v>
      </c>
      <c r="C77" s="5">
        <f>+C32*50</f>
        <v>9494</v>
      </c>
      <c r="D77" s="5">
        <f t="shared" si="23"/>
        <v>9696</v>
      </c>
      <c r="E77" s="5">
        <f t="shared" si="23"/>
        <v>3838.0000000000005</v>
      </c>
      <c r="F77" s="5">
        <f t="shared" si="24"/>
        <v>23028</v>
      </c>
    </row>
    <row r="78" spans="1:7" ht="15.75" thickBot="1" x14ac:dyDescent="0.3">
      <c r="B78" s="8" t="s">
        <v>7</v>
      </c>
      <c r="C78" s="15">
        <f>SUM(C73:C77)</f>
        <v>118372</v>
      </c>
      <c r="D78" s="15">
        <f t="shared" ref="D78:F78" si="25">SUM(D73:D77)</f>
        <v>105999.5</v>
      </c>
      <c r="E78" s="15">
        <f t="shared" si="25"/>
        <v>54590.5</v>
      </c>
      <c r="F78" s="15">
        <f t="shared" si="25"/>
        <v>278962</v>
      </c>
    </row>
    <row r="82" spans="1:7" x14ac:dyDescent="0.25">
      <c r="A82" s="120"/>
      <c r="B82" s="120"/>
      <c r="C82" s="120"/>
      <c r="D82" s="120"/>
      <c r="E82" s="120"/>
      <c r="F82" s="120"/>
      <c r="G82" s="120"/>
    </row>
    <row r="83" spans="1:7" x14ac:dyDescent="0.25">
      <c r="A83" s="10" t="s">
        <v>14</v>
      </c>
      <c r="C83" s="18" t="s">
        <v>15</v>
      </c>
      <c r="D83" s="18" t="s">
        <v>140</v>
      </c>
    </row>
    <row r="84" spans="1:7" x14ac:dyDescent="0.25">
      <c r="B84" s="1" t="s">
        <v>17</v>
      </c>
      <c r="C84" s="9">
        <v>200</v>
      </c>
      <c r="D84" s="1">
        <v>50</v>
      </c>
      <c r="E84" s="12"/>
    </row>
    <row r="85" spans="1:7" x14ac:dyDescent="0.25">
      <c r="B85" s="1" t="s">
        <v>18</v>
      </c>
      <c r="C85" s="9">
        <v>70</v>
      </c>
      <c r="D85" s="1">
        <v>25</v>
      </c>
      <c r="E85" s="12"/>
    </row>
    <row r="86" spans="1:7" x14ac:dyDescent="0.25">
      <c r="A86" s="2"/>
      <c r="B86" s="4"/>
      <c r="C86" s="2"/>
      <c r="D86" s="2"/>
      <c r="E86" s="2"/>
      <c r="F86" s="2"/>
    </row>
    <row r="87" spans="1:7" x14ac:dyDescent="0.25">
      <c r="B87" s="13" t="s">
        <v>126</v>
      </c>
      <c r="C87" s="104" t="s">
        <v>125</v>
      </c>
      <c r="D87" s="104" t="s">
        <v>120</v>
      </c>
      <c r="E87" s="104" t="s">
        <v>124</v>
      </c>
      <c r="F87" s="104" t="s">
        <v>7</v>
      </c>
    </row>
    <row r="88" spans="1:7" x14ac:dyDescent="0.25">
      <c r="B88" s="114" t="s">
        <v>17</v>
      </c>
      <c r="C88" s="5">
        <f>+C33*I13</f>
        <v>1945.2600000000002</v>
      </c>
      <c r="D88" s="5">
        <f>+D33*J13</f>
        <v>1666.4999999999998</v>
      </c>
      <c r="E88" s="5">
        <f>+E33*K13</f>
        <v>740.53199999999993</v>
      </c>
      <c r="F88" s="5">
        <f>SUM(C88:E88)</f>
        <v>4352.2920000000004</v>
      </c>
    </row>
    <row r="89" spans="1:7" x14ac:dyDescent="0.25">
      <c r="B89" s="7" t="s">
        <v>98</v>
      </c>
      <c r="C89" s="5">
        <f>+C33-C88</f>
        <v>422.18000000000029</v>
      </c>
      <c r="D89" s="5">
        <f t="shared" ref="D89:E89" si="26">+D33-D88</f>
        <v>453.49</v>
      </c>
      <c r="E89" s="5">
        <f t="shared" si="26"/>
        <v>351.27800000000002</v>
      </c>
      <c r="F89" s="5">
        <f t="shared" ref="F89" si="27">SUM(C89:E89)</f>
        <v>1226.9480000000003</v>
      </c>
    </row>
    <row r="90" spans="1:7" x14ac:dyDescent="0.25">
      <c r="B90" s="8" t="s">
        <v>7</v>
      </c>
      <c r="C90" s="6">
        <f>SUM(C88:C89)</f>
        <v>2367.4400000000005</v>
      </c>
      <c r="D90" s="6">
        <f>SUM(D88:D89)</f>
        <v>2119.9899999999998</v>
      </c>
      <c r="E90" s="6">
        <f>SUM(E88:E89)</f>
        <v>1091.81</v>
      </c>
      <c r="F90" s="6">
        <f>SUM(F88:F89)</f>
        <v>5579.2400000000007</v>
      </c>
    </row>
    <row r="92" spans="1:7" x14ac:dyDescent="0.25">
      <c r="B92" s="13"/>
      <c r="C92" s="104" t="s">
        <v>125</v>
      </c>
      <c r="D92" s="104" t="s">
        <v>120</v>
      </c>
      <c r="E92" s="104" t="s">
        <v>124</v>
      </c>
      <c r="F92" s="104" t="s">
        <v>7</v>
      </c>
    </row>
    <row r="93" spans="1:7" x14ac:dyDescent="0.25">
      <c r="B93" s="114" t="s">
        <v>17</v>
      </c>
      <c r="C93" s="5">
        <f>+C88*200</f>
        <v>389052.00000000006</v>
      </c>
      <c r="D93" s="5">
        <f t="shared" ref="D93" si="28">+D88*200</f>
        <v>333299.99999999994</v>
      </c>
      <c r="E93" s="5">
        <f>+E88*50</f>
        <v>37026.6</v>
      </c>
      <c r="F93" s="5">
        <f>SUM(C93:E93)</f>
        <v>759378.6</v>
      </c>
    </row>
    <row r="94" spans="1:7" x14ac:dyDescent="0.25">
      <c r="B94" s="7" t="s">
        <v>98</v>
      </c>
      <c r="C94" s="5">
        <f>+C89*70</f>
        <v>29552.60000000002</v>
      </c>
      <c r="D94" s="5">
        <f t="shared" ref="D94" si="29">+D89*70</f>
        <v>31744.3</v>
      </c>
      <c r="E94" s="150">
        <f>+'[1]Facility Fee'!$X$37*E33</f>
        <v>412.98900000000003</v>
      </c>
      <c r="F94" s="5">
        <f t="shared" ref="F94" si="30">SUM(C94:E94)</f>
        <v>61709.889000000025</v>
      </c>
    </row>
    <row r="95" spans="1:7" x14ac:dyDescent="0.25">
      <c r="B95" s="8" t="s">
        <v>7</v>
      </c>
      <c r="C95" s="6">
        <f>SUM(C93:C94)</f>
        <v>418604.60000000009</v>
      </c>
      <c r="D95" s="6">
        <f>SUM(D93:D94)</f>
        <v>365044.29999999993</v>
      </c>
      <c r="E95" s="6">
        <f>SUM(E93:E94)</f>
        <v>37439.589</v>
      </c>
      <c r="F95" s="6">
        <f>SUM(F93:F94)</f>
        <v>821088.48900000006</v>
      </c>
    </row>
  </sheetData>
  <mergeCells count="5">
    <mergeCell ref="I26:M26"/>
    <mergeCell ref="I36:M36"/>
    <mergeCell ref="C11:E11"/>
    <mergeCell ref="F11:H11"/>
    <mergeCell ref="I11:K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D13" sqref="D13:D17"/>
    </sheetView>
  </sheetViews>
  <sheetFormatPr defaultColWidth="9.140625" defaultRowHeight="15" x14ac:dyDescent="0.25"/>
  <cols>
    <col min="1" max="1" width="13.42578125" style="1" customWidth="1"/>
    <col min="2" max="2" width="11.140625" style="1" customWidth="1"/>
    <col min="3" max="3" width="11" style="1" bestFit="1" customWidth="1"/>
    <col min="4" max="4" width="9.140625" style="1"/>
    <col min="5" max="5" width="10" style="1" bestFit="1" customWidth="1"/>
    <col min="6" max="6" width="9.140625" style="1"/>
    <col min="7" max="7" width="15.85546875" style="1" customWidth="1"/>
    <col min="8" max="8" width="11.140625" style="1" bestFit="1" customWidth="1"/>
    <col min="9" max="9" width="12.140625" style="1" customWidth="1"/>
    <col min="10" max="12" width="9.140625" style="1"/>
    <col min="13" max="13" width="15.28515625" style="1" customWidth="1"/>
    <col min="14" max="14" width="11.140625" style="1" bestFit="1" customWidth="1"/>
    <col min="15" max="15" width="12.140625" style="1" customWidth="1"/>
    <col min="16" max="16384" width="9.140625" style="1"/>
  </cols>
  <sheetData>
    <row r="1" spans="1:18" x14ac:dyDescent="0.25">
      <c r="A1" s="1" t="s">
        <v>88</v>
      </c>
    </row>
    <row r="3" spans="1:18" ht="15.75" hidden="1" thickBot="1" x14ac:dyDescent="0.3">
      <c r="A3" s="38" t="s">
        <v>81</v>
      </c>
      <c r="B3" s="38"/>
      <c r="C3" s="38"/>
      <c r="D3" s="38"/>
      <c r="E3" s="38"/>
      <c r="F3" s="38"/>
      <c r="G3" s="58" t="s">
        <v>82</v>
      </c>
      <c r="H3" s="58"/>
      <c r="I3" s="58"/>
      <c r="J3" s="58"/>
      <c r="K3" s="58"/>
      <c r="L3" s="58"/>
      <c r="M3" s="73" t="s">
        <v>83</v>
      </c>
      <c r="N3" s="73"/>
      <c r="O3" s="73"/>
      <c r="P3" s="73"/>
      <c r="Q3" s="73"/>
      <c r="R3" s="73"/>
    </row>
    <row r="4" spans="1:18" ht="15.75" hidden="1" thickBot="1" x14ac:dyDescent="0.3">
      <c r="A4" s="39" t="s">
        <v>71</v>
      </c>
      <c r="B4" s="40" t="s">
        <v>79</v>
      </c>
      <c r="C4" s="40">
        <v>2013</v>
      </c>
      <c r="D4" s="40">
        <v>2014</v>
      </c>
      <c r="E4" s="40">
        <v>2015</v>
      </c>
      <c r="F4" s="38"/>
      <c r="G4" s="59" t="s">
        <v>71</v>
      </c>
      <c r="H4" s="60" t="s">
        <v>79</v>
      </c>
      <c r="I4" s="60">
        <v>2013</v>
      </c>
      <c r="J4" s="60">
        <v>2014</v>
      </c>
      <c r="K4" s="60">
        <v>2015</v>
      </c>
      <c r="L4" s="58"/>
      <c r="M4" s="74" t="s">
        <v>71</v>
      </c>
      <c r="N4" s="75" t="s">
        <v>79</v>
      </c>
      <c r="O4" s="75">
        <v>2013</v>
      </c>
      <c r="P4" s="75">
        <v>2014</v>
      </c>
      <c r="Q4" s="75">
        <v>2015</v>
      </c>
      <c r="R4" s="73"/>
    </row>
    <row r="5" spans="1:18" ht="25.5" hidden="1" customHeight="1" thickBot="1" x14ac:dyDescent="0.3">
      <c r="A5" s="41" t="s">
        <v>10</v>
      </c>
      <c r="B5" s="42">
        <f>SUM(C5:E5)/3</f>
        <v>0</v>
      </c>
      <c r="C5" s="43"/>
      <c r="D5" s="43"/>
      <c r="E5" s="43"/>
      <c r="F5" s="38"/>
      <c r="G5" s="61" t="s">
        <v>10</v>
      </c>
      <c r="H5" s="62">
        <f>SUM(I5:K5)/3</f>
        <v>0</v>
      </c>
      <c r="I5" s="63"/>
      <c r="J5" s="63"/>
      <c r="K5" s="63"/>
      <c r="L5" s="58"/>
      <c r="M5" s="76" t="s">
        <v>10</v>
      </c>
      <c r="N5" s="77">
        <f>SUM(O5:Q5)/3</f>
        <v>0</v>
      </c>
      <c r="O5" s="78"/>
      <c r="P5" s="78"/>
      <c r="Q5" s="78"/>
      <c r="R5" s="73"/>
    </row>
    <row r="6" spans="1:18" ht="15.75" hidden="1" thickBot="1" x14ac:dyDescent="0.3">
      <c r="A6" s="41" t="s">
        <v>11</v>
      </c>
      <c r="B6" s="42">
        <f t="shared" ref="B6:B9" si="0">SUM(C6:E6)/3</f>
        <v>0</v>
      </c>
      <c r="C6" s="43"/>
      <c r="D6" s="43"/>
      <c r="E6" s="43"/>
      <c r="F6" s="38"/>
      <c r="G6" s="61" t="s">
        <v>11</v>
      </c>
      <c r="H6" s="62">
        <f t="shared" ref="H6:H9" si="1">SUM(I6:K6)/3</f>
        <v>0</v>
      </c>
      <c r="I6" s="63"/>
      <c r="J6" s="63"/>
      <c r="K6" s="63"/>
      <c r="L6" s="58"/>
      <c r="M6" s="76" t="s">
        <v>11</v>
      </c>
      <c r="N6" s="77">
        <f t="shared" ref="N6:N9" si="2">SUM(O6:Q6)/3</f>
        <v>0</v>
      </c>
      <c r="O6" s="78"/>
      <c r="P6" s="78"/>
      <c r="Q6" s="78"/>
      <c r="R6" s="73"/>
    </row>
    <row r="7" spans="1:18" ht="15.75" hidden="1" thickBot="1" x14ac:dyDescent="0.3">
      <c r="A7" s="41" t="s">
        <v>8</v>
      </c>
      <c r="B7" s="42">
        <f t="shared" si="0"/>
        <v>0</v>
      </c>
      <c r="C7" s="43"/>
      <c r="D7" s="43"/>
      <c r="E7" s="43"/>
      <c r="F7" s="38"/>
      <c r="G7" s="61" t="s">
        <v>8</v>
      </c>
      <c r="H7" s="62">
        <f t="shared" si="1"/>
        <v>0</v>
      </c>
      <c r="I7" s="63"/>
      <c r="J7" s="63"/>
      <c r="K7" s="63"/>
      <c r="L7" s="58"/>
      <c r="M7" s="76" t="s">
        <v>8</v>
      </c>
      <c r="N7" s="77">
        <f t="shared" si="2"/>
        <v>0</v>
      </c>
      <c r="O7" s="78"/>
      <c r="P7" s="78"/>
      <c r="Q7" s="78"/>
      <c r="R7" s="73"/>
    </row>
    <row r="8" spans="1:18" ht="15.75" hidden="1" thickBot="1" x14ac:dyDescent="0.3">
      <c r="A8" s="41" t="s">
        <v>9</v>
      </c>
      <c r="B8" s="42">
        <f t="shared" si="0"/>
        <v>0</v>
      </c>
      <c r="C8" s="43"/>
      <c r="D8" s="43"/>
      <c r="E8" s="43"/>
      <c r="F8" s="38"/>
      <c r="G8" s="61" t="s">
        <v>9</v>
      </c>
      <c r="H8" s="62">
        <f t="shared" si="1"/>
        <v>0</v>
      </c>
      <c r="I8" s="63"/>
      <c r="J8" s="63"/>
      <c r="K8" s="63"/>
      <c r="L8" s="58"/>
      <c r="M8" s="76" t="s">
        <v>9</v>
      </c>
      <c r="N8" s="77">
        <f t="shared" si="2"/>
        <v>0</v>
      </c>
      <c r="O8" s="78"/>
      <c r="P8" s="78"/>
      <c r="Q8" s="78"/>
      <c r="R8" s="73"/>
    </row>
    <row r="9" spans="1:18" ht="15.75" hidden="1" thickBot="1" x14ac:dyDescent="0.3">
      <c r="A9" s="41" t="s">
        <v>12</v>
      </c>
      <c r="B9" s="42">
        <f t="shared" si="0"/>
        <v>0</v>
      </c>
      <c r="C9" s="43"/>
      <c r="D9" s="43"/>
      <c r="E9" s="43"/>
      <c r="F9" s="38"/>
      <c r="G9" s="61" t="s">
        <v>12</v>
      </c>
      <c r="H9" s="62">
        <f t="shared" si="1"/>
        <v>0</v>
      </c>
      <c r="I9" s="63"/>
      <c r="J9" s="63"/>
      <c r="K9" s="63"/>
      <c r="L9" s="58"/>
      <c r="M9" s="76" t="s">
        <v>12</v>
      </c>
      <c r="N9" s="77">
        <f t="shared" si="2"/>
        <v>0</v>
      </c>
      <c r="O9" s="78"/>
      <c r="P9" s="78"/>
      <c r="Q9" s="78"/>
      <c r="R9" s="73"/>
    </row>
    <row r="10" spans="1:18" x14ac:dyDescent="0.25">
      <c r="A10" s="38"/>
      <c r="B10" s="44"/>
      <c r="C10" s="38"/>
      <c r="D10" s="38"/>
      <c r="E10" s="38"/>
      <c r="F10" s="38"/>
      <c r="G10" s="58"/>
      <c r="H10" s="64"/>
      <c r="I10" s="58"/>
      <c r="J10" s="58"/>
      <c r="K10" s="58"/>
      <c r="L10" s="58"/>
      <c r="M10" s="73"/>
      <c r="N10" s="79"/>
      <c r="O10" s="73"/>
      <c r="P10" s="73"/>
      <c r="Q10" s="73"/>
      <c r="R10" s="73"/>
    </row>
    <row r="11" spans="1:18" ht="15.75" thickBot="1" x14ac:dyDescent="0.3">
      <c r="A11" s="45" t="s">
        <v>77</v>
      </c>
      <c r="B11" s="44"/>
      <c r="C11" s="38"/>
      <c r="D11" s="38"/>
      <c r="E11" s="38"/>
      <c r="F11" s="38"/>
      <c r="G11" s="65" t="s">
        <v>77</v>
      </c>
      <c r="H11" s="64"/>
      <c r="I11" s="58"/>
      <c r="J11" s="58"/>
      <c r="K11" s="58"/>
      <c r="L11" s="58"/>
      <c r="M11" s="80" t="s">
        <v>77</v>
      </c>
      <c r="N11" s="79"/>
      <c r="O11" s="73"/>
      <c r="P11" s="73"/>
      <c r="Q11" s="73"/>
      <c r="R11" s="73"/>
    </row>
    <row r="12" spans="1:18" ht="15.75" thickBot="1" x14ac:dyDescent="0.3">
      <c r="A12" s="39" t="s">
        <v>71</v>
      </c>
      <c r="B12" s="40" t="s">
        <v>79</v>
      </c>
      <c r="C12" s="40">
        <v>2013</v>
      </c>
      <c r="D12" s="40">
        <v>2014</v>
      </c>
      <c r="E12" s="40">
        <v>2015</v>
      </c>
      <c r="F12" s="38"/>
      <c r="G12" s="59" t="s">
        <v>71</v>
      </c>
      <c r="H12" s="60" t="s">
        <v>79</v>
      </c>
      <c r="I12" s="60">
        <v>2013</v>
      </c>
      <c r="J12" s="60">
        <v>2014</v>
      </c>
      <c r="K12" s="60">
        <v>2015</v>
      </c>
      <c r="L12" s="58"/>
      <c r="M12" s="74" t="s">
        <v>71</v>
      </c>
      <c r="N12" s="75" t="s">
        <v>79</v>
      </c>
      <c r="O12" s="75">
        <v>2013</v>
      </c>
      <c r="P12" s="75">
        <v>2014</v>
      </c>
      <c r="Q12" s="75">
        <v>2015</v>
      </c>
      <c r="R12" s="73"/>
    </row>
    <row r="13" spans="1:18" ht="15.75" thickBot="1" x14ac:dyDescent="0.3">
      <c r="A13" s="41" t="s">
        <v>10</v>
      </c>
      <c r="B13" s="42">
        <f t="shared" ref="B13:B17" si="3">SUM(C13:E13)/3</f>
        <v>271.33333333333331</v>
      </c>
      <c r="C13" s="43">
        <v>319</v>
      </c>
      <c r="D13" s="43">
        <v>262</v>
      </c>
      <c r="E13" s="43">
        <v>233</v>
      </c>
      <c r="F13" s="38"/>
      <c r="G13" s="61" t="s">
        <v>10</v>
      </c>
      <c r="H13" s="62">
        <f t="shared" ref="H13:H17" si="4">SUM(I13:K13)/3</f>
        <v>292</v>
      </c>
      <c r="I13" s="63">
        <v>372</v>
      </c>
      <c r="J13" s="63">
        <v>266</v>
      </c>
      <c r="K13" s="63">
        <v>238</v>
      </c>
      <c r="L13" s="58"/>
      <c r="M13" s="76" t="s">
        <v>10</v>
      </c>
      <c r="N13" s="77">
        <f t="shared" ref="N13:N17" si="5">SUM(O13:Q13)/3</f>
        <v>157</v>
      </c>
      <c r="O13" s="78">
        <v>204</v>
      </c>
      <c r="P13" s="78">
        <v>136</v>
      </c>
      <c r="Q13" s="78">
        <v>131</v>
      </c>
      <c r="R13" s="73"/>
    </row>
    <row r="14" spans="1:18" ht="15.75" thickBot="1" x14ac:dyDescent="0.3">
      <c r="A14" s="41" t="s">
        <v>11</v>
      </c>
      <c r="B14" s="42">
        <f t="shared" si="3"/>
        <v>229</v>
      </c>
      <c r="C14" s="43">
        <v>243</v>
      </c>
      <c r="D14" s="43">
        <v>223</v>
      </c>
      <c r="E14" s="43">
        <v>221</v>
      </c>
      <c r="F14" s="38"/>
      <c r="G14" s="61" t="s">
        <v>11</v>
      </c>
      <c r="H14" s="62">
        <f t="shared" si="4"/>
        <v>197</v>
      </c>
      <c r="I14" s="63">
        <v>215</v>
      </c>
      <c r="J14" s="63">
        <v>158</v>
      </c>
      <c r="K14" s="63">
        <v>218</v>
      </c>
      <c r="L14" s="58"/>
      <c r="M14" s="76" t="s">
        <v>11</v>
      </c>
      <c r="N14" s="77">
        <f t="shared" si="5"/>
        <v>142.66666666666666</v>
      </c>
      <c r="O14" s="78">
        <v>150</v>
      </c>
      <c r="P14" s="78">
        <v>111</v>
      </c>
      <c r="Q14" s="78">
        <v>167</v>
      </c>
      <c r="R14" s="73"/>
    </row>
    <row r="15" spans="1:18" ht="15.75" thickBot="1" x14ac:dyDescent="0.3">
      <c r="A15" s="41" t="s">
        <v>8</v>
      </c>
      <c r="B15" s="42">
        <f t="shared" si="3"/>
        <v>979.33333333333337</v>
      </c>
      <c r="C15" s="43">
        <v>1018</v>
      </c>
      <c r="D15" s="43">
        <v>968</v>
      </c>
      <c r="E15" s="43">
        <v>952</v>
      </c>
      <c r="F15" s="38"/>
      <c r="G15" s="61" t="s">
        <v>8</v>
      </c>
      <c r="H15" s="62">
        <f t="shared" si="4"/>
        <v>920</v>
      </c>
      <c r="I15" s="63">
        <v>976</v>
      </c>
      <c r="J15" s="63">
        <v>937</v>
      </c>
      <c r="K15" s="63">
        <v>847</v>
      </c>
      <c r="L15" s="58"/>
      <c r="M15" s="76" t="s">
        <v>8</v>
      </c>
      <c r="N15" s="77">
        <f t="shared" si="5"/>
        <v>458</v>
      </c>
      <c r="O15" s="78">
        <v>549</v>
      </c>
      <c r="P15" s="78">
        <v>437</v>
      </c>
      <c r="Q15" s="78">
        <v>388</v>
      </c>
      <c r="R15" s="73"/>
    </row>
    <row r="16" spans="1:18" ht="15.75" thickBot="1" x14ac:dyDescent="0.3">
      <c r="A16" s="41" t="s">
        <v>9</v>
      </c>
      <c r="B16" s="42">
        <f t="shared" si="3"/>
        <v>669</v>
      </c>
      <c r="C16" s="43">
        <v>669</v>
      </c>
      <c r="D16" s="43">
        <v>703</v>
      </c>
      <c r="E16" s="43">
        <v>635</v>
      </c>
      <c r="F16" s="38"/>
      <c r="G16" s="61" t="s">
        <v>9</v>
      </c>
      <c r="H16" s="62">
        <f t="shared" si="4"/>
        <v>581</v>
      </c>
      <c r="I16" s="63">
        <v>586</v>
      </c>
      <c r="J16" s="63">
        <v>553</v>
      </c>
      <c r="K16" s="63">
        <v>604</v>
      </c>
      <c r="L16" s="58"/>
      <c r="M16" s="76" t="s">
        <v>9</v>
      </c>
      <c r="N16" s="77">
        <f t="shared" si="5"/>
        <v>248</v>
      </c>
      <c r="O16" s="78">
        <v>206</v>
      </c>
      <c r="P16" s="78">
        <v>219</v>
      </c>
      <c r="Q16" s="78">
        <v>319</v>
      </c>
      <c r="R16" s="73"/>
    </row>
    <row r="17" spans="1:18" ht="15.75" thickBot="1" x14ac:dyDescent="0.3">
      <c r="A17" s="41" t="s">
        <v>12</v>
      </c>
      <c r="B17" s="42">
        <f t="shared" si="3"/>
        <v>188.66666666666666</v>
      </c>
      <c r="C17" s="43">
        <v>195</v>
      </c>
      <c r="D17" s="43">
        <v>188</v>
      </c>
      <c r="E17" s="43">
        <v>183</v>
      </c>
      <c r="F17" s="38"/>
      <c r="G17" s="61" t="s">
        <v>12</v>
      </c>
      <c r="H17" s="62">
        <f t="shared" si="4"/>
        <v>186.66666666666666</v>
      </c>
      <c r="I17" s="63">
        <v>188</v>
      </c>
      <c r="J17" s="63">
        <v>180</v>
      </c>
      <c r="K17" s="63">
        <v>192</v>
      </c>
      <c r="L17" s="58"/>
      <c r="M17" s="76" t="s">
        <v>12</v>
      </c>
      <c r="N17" s="77">
        <f t="shared" si="5"/>
        <v>94</v>
      </c>
      <c r="O17" s="78">
        <v>111</v>
      </c>
      <c r="P17" s="78">
        <v>95</v>
      </c>
      <c r="Q17" s="78">
        <v>76</v>
      </c>
      <c r="R17" s="73"/>
    </row>
    <row r="18" spans="1:18" ht="15.75" thickBot="1" x14ac:dyDescent="0.3">
      <c r="A18" s="41" t="s">
        <v>87</v>
      </c>
      <c r="B18" s="42">
        <f>SUM(B13:B17)</f>
        <v>2337.3333333333335</v>
      </c>
      <c r="C18" s="42">
        <f t="shared" ref="C18:E18" si="6">SUM(C13:C17)</f>
        <v>2444</v>
      </c>
      <c r="D18" s="42">
        <f t="shared" si="6"/>
        <v>2344</v>
      </c>
      <c r="E18" s="42">
        <f t="shared" si="6"/>
        <v>2224</v>
      </c>
      <c r="F18" s="38"/>
      <c r="G18" s="61" t="s">
        <v>87</v>
      </c>
      <c r="H18" s="62">
        <f>SUM(H13:H17)</f>
        <v>2176.6666666666665</v>
      </c>
      <c r="I18" s="62">
        <f t="shared" ref="I18:K18" si="7">SUM(I13:I17)</f>
        <v>2337</v>
      </c>
      <c r="J18" s="62">
        <f t="shared" si="7"/>
        <v>2094</v>
      </c>
      <c r="K18" s="62">
        <f t="shared" si="7"/>
        <v>2099</v>
      </c>
      <c r="L18" s="58"/>
      <c r="M18" s="76" t="s">
        <v>87</v>
      </c>
      <c r="N18" s="77">
        <f>SUM(N13:N17)</f>
        <v>1099.6666666666665</v>
      </c>
      <c r="O18" s="77">
        <f t="shared" ref="O18:Q18" si="8">SUM(O13:O17)</f>
        <v>1220</v>
      </c>
      <c r="P18" s="77">
        <f t="shared" si="8"/>
        <v>998</v>
      </c>
      <c r="Q18" s="77">
        <f t="shared" si="8"/>
        <v>1081</v>
      </c>
      <c r="R18" s="73"/>
    </row>
    <row r="19" spans="1:18" x14ac:dyDescent="0.25">
      <c r="A19" s="38"/>
      <c r="B19" s="44"/>
      <c r="C19" s="38"/>
      <c r="D19" s="38"/>
      <c r="E19" s="38"/>
      <c r="F19" s="38"/>
      <c r="G19" s="58"/>
      <c r="H19" s="64"/>
      <c r="I19" s="58"/>
      <c r="J19" s="58"/>
      <c r="K19" s="58"/>
      <c r="L19" s="58"/>
      <c r="M19" s="73"/>
      <c r="N19" s="79"/>
      <c r="O19" s="73"/>
      <c r="P19" s="73"/>
      <c r="Q19" s="73"/>
      <c r="R19" s="73"/>
    </row>
    <row r="20" spans="1:18" ht="15.75" thickBot="1" x14ac:dyDescent="0.3">
      <c r="A20" s="45" t="s">
        <v>84</v>
      </c>
      <c r="B20" s="44"/>
      <c r="C20" s="38"/>
      <c r="D20" s="38"/>
      <c r="E20" s="38"/>
      <c r="F20" s="38"/>
      <c r="G20" s="65" t="s">
        <v>85</v>
      </c>
      <c r="H20" s="64"/>
      <c r="I20" s="58"/>
      <c r="J20" s="58"/>
      <c r="K20" s="58"/>
      <c r="L20" s="58"/>
      <c r="M20" s="80" t="s">
        <v>86</v>
      </c>
      <c r="N20" s="79"/>
      <c r="O20" s="73"/>
      <c r="P20" s="73"/>
      <c r="Q20" s="73"/>
      <c r="R20" s="73"/>
    </row>
    <row r="21" spans="1:18" ht="15.75" thickBot="1" x14ac:dyDescent="0.3">
      <c r="A21" s="39" t="s">
        <v>71</v>
      </c>
      <c r="B21" s="46" t="s">
        <v>72</v>
      </c>
      <c r="C21" s="39" t="s">
        <v>80</v>
      </c>
      <c r="D21" s="47"/>
      <c r="E21" s="47"/>
      <c r="F21" s="38"/>
      <c r="G21" s="59" t="s">
        <v>71</v>
      </c>
      <c r="H21" s="66" t="s">
        <v>72</v>
      </c>
      <c r="I21" s="59" t="s">
        <v>80</v>
      </c>
      <c r="J21" s="67"/>
      <c r="K21" s="67"/>
      <c r="L21" s="58"/>
      <c r="M21" s="74" t="s">
        <v>71</v>
      </c>
      <c r="N21" s="81" t="s">
        <v>72</v>
      </c>
      <c r="O21" s="74" t="s">
        <v>80</v>
      </c>
      <c r="P21" s="82"/>
      <c r="Q21" s="82"/>
      <c r="R21" s="73"/>
    </row>
    <row r="22" spans="1:18" ht="15.75" thickBot="1" x14ac:dyDescent="0.3">
      <c r="A22" s="41" t="s">
        <v>10</v>
      </c>
      <c r="B22" s="42">
        <f>+B5*B13</f>
        <v>0</v>
      </c>
      <c r="C22" s="50">
        <f>+B13*50</f>
        <v>13566.666666666666</v>
      </c>
      <c r="D22" s="48"/>
      <c r="E22" s="48"/>
      <c r="F22" s="38"/>
      <c r="G22" s="61" t="s">
        <v>10</v>
      </c>
      <c r="H22" s="62">
        <f>+H5*H13</f>
        <v>0</v>
      </c>
      <c r="I22" s="68">
        <f>+H13*50</f>
        <v>14600</v>
      </c>
      <c r="J22" s="69"/>
      <c r="K22" s="69"/>
      <c r="L22" s="58"/>
      <c r="M22" s="76" t="s">
        <v>10</v>
      </c>
      <c r="N22" s="77">
        <f>+N5*N13</f>
        <v>0</v>
      </c>
      <c r="O22" s="83">
        <f>+N13*50</f>
        <v>7850</v>
      </c>
      <c r="P22" s="84"/>
      <c r="Q22" s="84"/>
      <c r="R22" s="73"/>
    </row>
    <row r="23" spans="1:18" ht="15.75" thickBot="1" x14ac:dyDescent="0.3">
      <c r="A23" s="41" t="s">
        <v>11</v>
      </c>
      <c r="B23" s="42">
        <f>+B6*B14</f>
        <v>0</v>
      </c>
      <c r="C23" s="50">
        <f>+B14*50</f>
        <v>11450</v>
      </c>
      <c r="D23" s="48"/>
      <c r="E23" s="48"/>
      <c r="F23" s="38"/>
      <c r="G23" s="61" t="s">
        <v>11</v>
      </c>
      <c r="H23" s="62">
        <f>+H6*H14</f>
        <v>0</v>
      </c>
      <c r="I23" s="68">
        <f>+H14*50</f>
        <v>9850</v>
      </c>
      <c r="J23" s="69"/>
      <c r="K23" s="69"/>
      <c r="L23" s="58"/>
      <c r="M23" s="76" t="s">
        <v>11</v>
      </c>
      <c r="N23" s="77">
        <f>+N6*N14</f>
        <v>0</v>
      </c>
      <c r="O23" s="83">
        <f>+N14*50</f>
        <v>7133.333333333333</v>
      </c>
      <c r="P23" s="84"/>
      <c r="Q23" s="84"/>
      <c r="R23" s="73"/>
    </row>
    <row r="24" spans="1:18" ht="15.75" thickBot="1" x14ac:dyDescent="0.3">
      <c r="A24" s="41" t="s">
        <v>8</v>
      </c>
      <c r="B24" s="42">
        <f>+B7*B15</f>
        <v>0</v>
      </c>
      <c r="C24" s="50">
        <f>+B15*50</f>
        <v>48966.666666666672</v>
      </c>
      <c r="D24" s="48"/>
      <c r="E24" s="48"/>
      <c r="F24" s="38"/>
      <c r="G24" s="61" t="s">
        <v>8</v>
      </c>
      <c r="H24" s="62">
        <f>+H7*H15</f>
        <v>0</v>
      </c>
      <c r="I24" s="68">
        <f>+H15*50</f>
        <v>46000</v>
      </c>
      <c r="J24" s="69"/>
      <c r="K24" s="69"/>
      <c r="L24" s="58"/>
      <c r="M24" s="76" t="s">
        <v>8</v>
      </c>
      <c r="N24" s="77">
        <f>+N7*N15</f>
        <v>0</v>
      </c>
      <c r="O24" s="83">
        <f>+N15*50</f>
        <v>22900</v>
      </c>
      <c r="P24" s="84"/>
      <c r="Q24" s="84"/>
      <c r="R24" s="73"/>
    </row>
    <row r="25" spans="1:18" ht="15.75" thickBot="1" x14ac:dyDescent="0.3">
      <c r="A25" s="41" t="s">
        <v>9</v>
      </c>
      <c r="B25" s="42">
        <f>+B8*B16</f>
        <v>0</v>
      </c>
      <c r="C25" s="50">
        <f>+B16*50</f>
        <v>33450</v>
      </c>
      <c r="D25" s="48"/>
      <c r="E25" s="48"/>
      <c r="F25" s="38"/>
      <c r="G25" s="61" t="s">
        <v>9</v>
      </c>
      <c r="H25" s="62">
        <f>+H8*H16</f>
        <v>0</v>
      </c>
      <c r="I25" s="68">
        <f>+H16*50</f>
        <v>29050</v>
      </c>
      <c r="J25" s="69"/>
      <c r="K25" s="69"/>
      <c r="L25" s="58"/>
      <c r="M25" s="76" t="s">
        <v>9</v>
      </c>
      <c r="N25" s="77">
        <f>+N8*N16</f>
        <v>0</v>
      </c>
      <c r="O25" s="83">
        <f>+N16*50</f>
        <v>12400</v>
      </c>
      <c r="P25" s="84"/>
      <c r="Q25" s="84"/>
      <c r="R25" s="73"/>
    </row>
    <row r="26" spans="1:18" ht="15.75" thickBot="1" x14ac:dyDescent="0.3">
      <c r="A26" s="41" t="s">
        <v>12</v>
      </c>
      <c r="B26" s="42">
        <f>+B9*B17</f>
        <v>0</v>
      </c>
      <c r="C26" s="50">
        <f>+B17*50</f>
        <v>9433.3333333333321</v>
      </c>
      <c r="D26" s="48"/>
      <c r="E26" s="48"/>
      <c r="F26" s="38"/>
      <c r="G26" s="61" t="s">
        <v>12</v>
      </c>
      <c r="H26" s="62">
        <f>+H9*H17</f>
        <v>0</v>
      </c>
      <c r="I26" s="68">
        <f>+H17*50</f>
        <v>9333.3333333333321</v>
      </c>
      <c r="J26" s="69"/>
      <c r="K26" s="69"/>
      <c r="L26" s="58"/>
      <c r="M26" s="76" t="s">
        <v>12</v>
      </c>
      <c r="N26" s="77">
        <f>+N9*N17</f>
        <v>0</v>
      </c>
      <c r="O26" s="83">
        <f>+N17*50</f>
        <v>4700</v>
      </c>
      <c r="P26" s="84"/>
      <c r="Q26" s="84"/>
      <c r="R26" s="73"/>
    </row>
    <row r="27" spans="1:18" ht="15.75" thickBot="1" x14ac:dyDescent="0.3">
      <c r="A27" s="38"/>
      <c r="B27" s="38"/>
      <c r="C27" s="51">
        <f>SUM(C22:C26)</f>
        <v>116866.66666666667</v>
      </c>
      <c r="D27" s="49"/>
      <c r="E27" s="49"/>
      <c r="F27" s="38"/>
      <c r="G27" s="58"/>
      <c r="H27" s="58"/>
      <c r="I27" s="70">
        <f>SUM(I22:I26)</f>
        <v>108833.33333333333</v>
      </c>
      <c r="J27" s="71"/>
      <c r="K27" s="71"/>
      <c r="L27" s="58"/>
      <c r="M27" s="73"/>
      <c r="N27" s="73"/>
      <c r="O27" s="85">
        <f>SUM(O22:O26)</f>
        <v>54983.333333333328</v>
      </c>
      <c r="P27" s="86"/>
      <c r="Q27" s="86"/>
      <c r="R27" s="73"/>
    </row>
    <row r="28" spans="1:18" ht="15.75" thickTop="1" x14ac:dyDescent="0.25">
      <c r="C28" s="37"/>
      <c r="D28" s="37"/>
      <c r="E28" s="37"/>
    </row>
    <row r="29" spans="1:18" ht="30.75" thickBot="1" x14ac:dyDescent="0.3">
      <c r="A29" s="45" t="s">
        <v>78</v>
      </c>
      <c r="B29" s="44"/>
      <c r="C29" s="38"/>
      <c r="D29" s="38"/>
      <c r="E29" s="38"/>
      <c r="F29" s="38"/>
    </row>
    <row r="30" spans="1:18" ht="15.75" thickBot="1" x14ac:dyDescent="0.3">
      <c r="A30" s="39" t="s">
        <v>71</v>
      </c>
      <c r="B30" s="46" t="s">
        <v>81</v>
      </c>
      <c r="C30" s="39" t="s">
        <v>82</v>
      </c>
      <c r="D30" s="39" t="s">
        <v>83</v>
      </c>
      <c r="E30" s="39" t="s">
        <v>87</v>
      </c>
      <c r="F30" s="38"/>
    </row>
    <row r="31" spans="1:18" ht="15.75" thickBot="1" x14ac:dyDescent="0.3">
      <c r="A31" s="41" t="s">
        <v>10</v>
      </c>
      <c r="B31" s="42">
        <f>+C22</f>
        <v>13566.666666666666</v>
      </c>
      <c r="C31" s="50">
        <f>+I22</f>
        <v>14600</v>
      </c>
      <c r="D31" s="50">
        <f>+O22</f>
        <v>7850</v>
      </c>
      <c r="E31" s="50">
        <f>SUM(B31:D31)</f>
        <v>36016.666666666664</v>
      </c>
      <c r="F31" s="38"/>
    </row>
    <row r="32" spans="1:18" ht="15.75" thickBot="1" x14ac:dyDescent="0.3">
      <c r="A32" s="41" t="s">
        <v>11</v>
      </c>
      <c r="B32" s="42">
        <f t="shared" ref="B32:B35" si="9">+C23</f>
        <v>11450</v>
      </c>
      <c r="C32" s="50">
        <f t="shared" ref="C32:C35" si="10">+I23</f>
        <v>9850</v>
      </c>
      <c r="D32" s="50">
        <f>+O23</f>
        <v>7133.333333333333</v>
      </c>
      <c r="E32" s="50">
        <f t="shared" ref="E32:E35" si="11">SUM(B32:D32)</f>
        <v>28433.333333333332</v>
      </c>
      <c r="F32" s="38"/>
    </row>
    <row r="33" spans="1:6" ht="15.75" thickBot="1" x14ac:dyDescent="0.3">
      <c r="A33" s="41" t="s">
        <v>8</v>
      </c>
      <c r="B33" s="42">
        <f t="shared" si="9"/>
        <v>48966.666666666672</v>
      </c>
      <c r="C33" s="50">
        <f t="shared" si="10"/>
        <v>46000</v>
      </c>
      <c r="D33" s="50">
        <f>+O24</f>
        <v>22900</v>
      </c>
      <c r="E33" s="50">
        <f t="shared" si="11"/>
        <v>117866.66666666667</v>
      </c>
      <c r="F33" s="38"/>
    </row>
    <row r="34" spans="1:6" ht="15.75" thickBot="1" x14ac:dyDescent="0.3">
      <c r="A34" s="41" t="s">
        <v>9</v>
      </c>
      <c r="B34" s="42">
        <f t="shared" si="9"/>
        <v>33450</v>
      </c>
      <c r="C34" s="50">
        <f t="shared" si="10"/>
        <v>29050</v>
      </c>
      <c r="D34" s="50">
        <f>+O25</f>
        <v>12400</v>
      </c>
      <c r="E34" s="50">
        <f t="shared" si="11"/>
        <v>74900</v>
      </c>
      <c r="F34" s="38"/>
    </row>
    <row r="35" spans="1:6" ht="15.75" thickBot="1" x14ac:dyDescent="0.3">
      <c r="A35" s="41" t="s">
        <v>12</v>
      </c>
      <c r="B35" s="42">
        <f t="shared" si="9"/>
        <v>9433.3333333333321</v>
      </c>
      <c r="C35" s="50">
        <f t="shared" si="10"/>
        <v>9333.3333333333321</v>
      </c>
      <c r="D35" s="50">
        <f>+O26</f>
        <v>4700</v>
      </c>
      <c r="E35" s="50">
        <f t="shared" si="11"/>
        <v>23466.666666666664</v>
      </c>
      <c r="F35" s="38"/>
    </row>
    <row r="36" spans="1:6" ht="15.75" thickBot="1" x14ac:dyDescent="0.3">
      <c r="A36" s="41" t="s">
        <v>87</v>
      </c>
      <c r="B36" s="42">
        <f>SUM(B31:B35)</f>
        <v>116866.66666666667</v>
      </c>
      <c r="C36" s="42">
        <f t="shared" ref="C36:E36" si="12">SUM(C31:C35)</f>
        <v>108833.33333333333</v>
      </c>
      <c r="D36" s="42">
        <f t="shared" si="12"/>
        <v>54983.333333333328</v>
      </c>
      <c r="E36" s="42">
        <f t="shared" si="12"/>
        <v>280683.33333333337</v>
      </c>
      <c r="F36" s="38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31" workbookViewId="0">
      <selection activeCell="L49" sqref="L49"/>
    </sheetView>
  </sheetViews>
  <sheetFormatPr defaultColWidth="8.85546875" defaultRowHeight="15" x14ac:dyDescent="0.25"/>
  <cols>
    <col min="1" max="1" width="2.28515625" style="23" customWidth="1"/>
    <col min="2" max="2" width="20.85546875" style="23" customWidth="1"/>
    <col min="3" max="12" width="10.7109375" style="23" customWidth="1"/>
    <col min="13" max="13" width="10" style="23" customWidth="1"/>
    <col min="14" max="225" width="11.42578125" style="23" customWidth="1"/>
    <col min="226" max="16384" width="8.85546875" style="23"/>
  </cols>
  <sheetData>
    <row r="1" spans="1:12" x14ac:dyDescent="0.25">
      <c r="A1" s="21" t="s">
        <v>19</v>
      </c>
      <c r="B1" s="22"/>
      <c r="C1" s="22"/>
      <c r="D1" s="22"/>
      <c r="E1" s="22"/>
      <c r="F1" s="22"/>
      <c r="G1" s="22"/>
    </row>
    <row r="2" spans="1:12" x14ac:dyDescent="0.25">
      <c r="A2" s="24" t="s">
        <v>20</v>
      </c>
      <c r="B2" s="25"/>
      <c r="C2" s="25"/>
      <c r="D2" s="25"/>
      <c r="E2" s="25"/>
      <c r="F2" s="25"/>
      <c r="G2" s="25"/>
    </row>
    <row r="3" spans="1:12" ht="15.75" customHeight="1" x14ac:dyDescent="0.25">
      <c r="A3" s="26" t="s">
        <v>21</v>
      </c>
      <c r="B3" s="25"/>
      <c r="C3" s="27"/>
      <c r="D3" s="27"/>
      <c r="E3" s="27"/>
      <c r="F3" s="27"/>
      <c r="G3" s="27"/>
      <c r="H3" s="27"/>
      <c r="I3" s="27"/>
      <c r="J3" s="27"/>
      <c r="K3" s="27"/>
    </row>
    <row r="4" spans="1:12" ht="15.75" customHeight="1" x14ac:dyDescent="0.25">
      <c r="A4" s="26"/>
      <c r="B4" s="25"/>
      <c r="C4" s="168" t="s">
        <v>22</v>
      </c>
      <c r="D4" s="168" t="s">
        <v>9</v>
      </c>
      <c r="E4" s="168" t="s">
        <v>10</v>
      </c>
      <c r="F4" s="168" t="s">
        <v>11</v>
      </c>
      <c r="G4" s="168" t="s">
        <v>12</v>
      </c>
      <c r="H4" s="168" t="s">
        <v>23</v>
      </c>
      <c r="I4" s="168" t="s">
        <v>24</v>
      </c>
      <c r="J4" s="168" t="s">
        <v>25</v>
      </c>
      <c r="K4" s="168" t="s">
        <v>26</v>
      </c>
      <c r="L4" s="168" t="s">
        <v>7</v>
      </c>
    </row>
    <row r="5" spans="1:12" x14ac:dyDescent="0.25">
      <c r="A5" s="26"/>
      <c r="B5" s="25"/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1:12" x14ac:dyDescent="0.25">
      <c r="B6" s="28" t="s">
        <v>27</v>
      </c>
      <c r="C6" s="20">
        <v>177064</v>
      </c>
      <c r="D6" s="20">
        <v>895544</v>
      </c>
      <c r="E6" s="20">
        <v>687346</v>
      </c>
      <c r="F6" s="20">
        <v>445563</v>
      </c>
      <c r="G6" s="20">
        <v>427819</v>
      </c>
      <c r="H6" s="20">
        <v>240851</v>
      </c>
      <c r="I6" s="20">
        <v>1598803</v>
      </c>
      <c r="J6" s="20">
        <v>528871</v>
      </c>
      <c r="K6" s="20">
        <v>364902</v>
      </c>
      <c r="L6" s="20">
        <f>SUM(C6:K6)</f>
        <v>5366763</v>
      </c>
    </row>
    <row r="7" spans="1:12" x14ac:dyDescent="0.25">
      <c r="B7" s="28" t="s">
        <v>28</v>
      </c>
      <c r="C7" s="20">
        <v>278</v>
      </c>
      <c r="D7" s="20">
        <v>16712</v>
      </c>
      <c r="E7" s="20">
        <v>10339</v>
      </c>
      <c r="F7" s="20">
        <v>8270</v>
      </c>
      <c r="G7" s="20">
        <v>9695</v>
      </c>
      <c r="H7" s="20">
        <v>7326</v>
      </c>
      <c r="I7" s="20">
        <v>42804</v>
      </c>
      <c r="J7" s="20">
        <v>9948</v>
      </c>
      <c r="K7" s="20">
        <v>17068</v>
      </c>
      <c r="L7" s="20">
        <f t="shared" ref="L7:L17" si="0">SUM(C7:K7)</f>
        <v>122440</v>
      </c>
    </row>
    <row r="8" spans="1:12" x14ac:dyDescent="0.25">
      <c r="B8" s="28" t="s">
        <v>29</v>
      </c>
      <c r="C8" s="20">
        <v>0</v>
      </c>
      <c r="D8" s="20">
        <v>168833</v>
      </c>
      <c r="E8" s="20">
        <v>130614</v>
      </c>
      <c r="F8" s="20">
        <v>34936</v>
      </c>
      <c r="G8" s="20">
        <v>23299</v>
      </c>
      <c r="H8" s="20">
        <v>32886</v>
      </c>
      <c r="I8" s="20">
        <v>166984</v>
      </c>
      <c r="J8" s="20">
        <v>107101</v>
      </c>
      <c r="K8" s="20">
        <v>89697</v>
      </c>
      <c r="L8" s="20">
        <f t="shared" si="0"/>
        <v>754350</v>
      </c>
    </row>
    <row r="9" spans="1:12" x14ac:dyDescent="0.25">
      <c r="B9" s="28" t="s">
        <v>30</v>
      </c>
      <c r="C9" s="20">
        <v>0</v>
      </c>
      <c r="D9" s="20">
        <v>0</v>
      </c>
      <c r="E9" s="20">
        <v>0</v>
      </c>
      <c r="F9" s="20">
        <v>17468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f t="shared" si="0"/>
        <v>17468</v>
      </c>
    </row>
    <row r="10" spans="1:12" x14ac:dyDescent="0.25">
      <c r="B10" s="28" t="s">
        <v>31</v>
      </c>
      <c r="C10" s="20">
        <v>8085</v>
      </c>
      <c r="D10" s="20">
        <v>81081</v>
      </c>
      <c r="E10" s="20">
        <v>58117</v>
      </c>
      <c r="F10" s="20">
        <v>37024</v>
      </c>
      <c r="G10" s="20">
        <v>32124</v>
      </c>
      <c r="H10" s="20">
        <v>18414</v>
      </c>
      <c r="I10" s="20">
        <v>117129</v>
      </c>
      <c r="J10" s="20">
        <v>45321</v>
      </c>
      <c r="K10" s="20">
        <v>33126</v>
      </c>
      <c r="L10" s="20">
        <f t="shared" si="0"/>
        <v>430421</v>
      </c>
    </row>
    <row r="11" spans="1:12" x14ac:dyDescent="0.25">
      <c r="B11" s="28" t="s">
        <v>32</v>
      </c>
      <c r="C11" s="20">
        <v>2130</v>
      </c>
      <c r="D11" s="20">
        <v>33448</v>
      </c>
      <c r="E11" s="20">
        <v>34982</v>
      </c>
      <c r="F11" s="20">
        <v>13950</v>
      </c>
      <c r="G11" s="20">
        <v>20116</v>
      </c>
      <c r="H11" s="20">
        <v>13093</v>
      </c>
      <c r="I11" s="20">
        <v>51266</v>
      </c>
      <c r="J11" s="20">
        <v>21077</v>
      </c>
      <c r="K11" s="20">
        <v>17475</v>
      </c>
      <c r="L11" s="20">
        <f t="shared" si="0"/>
        <v>207537</v>
      </c>
    </row>
    <row r="12" spans="1:12" x14ac:dyDescent="0.25">
      <c r="B12" s="28" t="s">
        <v>33</v>
      </c>
      <c r="C12" s="20">
        <v>887</v>
      </c>
      <c r="D12" s="20">
        <v>17428</v>
      </c>
      <c r="E12" s="20">
        <v>13352</v>
      </c>
      <c r="F12" s="20">
        <v>8414</v>
      </c>
      <c r="G12" s="20">
        <v>5479</v>
      </c>
      <c r="H12" s="20">
        <v>4063</v>
      </c>
      <c r="I12" s="20">
        <v>27173</v>
      </c>
      <c r="J12" s="20">
        <v>8641</v>
      </c>
      <c r="K12" s="20">
        <v>7141</v>
      </c>
      <c r="L12" s="20">
        <f t="shared" si="0"/>
        <v>92578</v>
      </c>
    </row>
    <row r="13" spans="1:12" x14ac:dyDescent="0.25">
      <c r="B13" s="28" t="s">
        <v>34</v>
      </c>
      <c r="C13" s="20">
        <v>2446</v>
      </c>
      <c r="D13" s="20">
        <v>32433</v>
      </c>
      <c r="E13" s="20">
        <v>24849</v>
      </c>
      <c r="F13" s="20">
        <v>15659</v>
      </c>
      <c r="G13" s="20">
        <v>12134</v>
      </c>
      <c r="H13" s="20">
        <v>6304</v>
      </c>
      <c r="I13" s="20">
        <v>52157</v>
      </c>
      <c r="J13" s="20">
        <v>16150</v>
      </c>
      <c r="K13" s="20">
        <v>13349</v>
      </c>
      <c r="L13" s="20">
        <f t="shared" si="0"/>
        <v>175481</v>
      </c>
    </row>
    <row r="14" spans="1:12" x14ac:dyDescent="0.25">
      <c r="B14" s="28" t="s">
        <v>35</v>
      </c>
      <c r="C14" s="20">
        <v>25200</v>
      </c>
      <c r="D14" s="20">
        <v>144000</v>
      </c>
      <c r="E14" s="20">
        <v>144000</v>
      </c>
      <c r="F14" s="20">
        <v>50400</v>
      </c>
      <c r="G14" s="20">
        <v>43200</v>
      </c>
      <c r="H14" s="20">
        <v>36000</v>
      </c>
      <c r="I14" s="20">
        <f>222000+21000</f>
        <v>243000</v>
      </c>
      <c r="J14" s="20">
        <v>36000</v>
      </c>
      <c r="K14" s="20">
        <v>28800</v>
      </c>
      <c r="L14" s="20">
        <f t="shared" si="0"/>
        <v>750600</v>
      </c>
    </row>
    <row r="15" spans="1:12" x14ac:dyDescent="0.25">
      <c r="B15" s="28" t="s">
        <v>36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430000</v>
      </c>
      <c r="J15" s="20">
        <v>0</v>
      </c>
      <c r="K15" s="20">
        <v>0</v>
      </c>
      <c r="L15" s="20">
        <f t="shared" si="0"/>
        <v>430000</v>
      </c>
    </row>
    <row r="16" spans="1:12" x14ac:dyDescent="0.25">
      <c r="B16" s="28" t="s">
        <v>37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1500</v>
      </c>
      <c r="J16" s="20">
        <v>0</v>
      </c>
      <c r="K16" s="20">
        <v>55000</v>
      </c>
      <c r="L16" s="20">
        <f t="shared" si="0"/>
        <v>56500</v>
      </c>
    </row>
    <row r="17" spans="2:13" x14ac:dyDescent="0.25">
      <c r="B17" s="28" t="s">
        <v>38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50000</v>
      </c>
      <c r="K17" s="20">
        <v>0</v>
      </c>
      <c r="L17" s="20">
        <f t="shared" si="0"/>
        <v>50000</v>
      </c>
    </row>
    <row r="18" spans="2:13" ht="15.75" thickBot="1" x14ac:dyDescent="0.3">
      <c r="B18" s="28"/>
      <c r="C18" s="29">
        <f>SUM(C6:C17)</f>
        <v>216090</v>
      </c>
      <c r="D18" s="29">
        <f t="shared" ref="D18:L18" si="1">SUM(D6:D17)</f>
        <v>1389479</v>
      </c>
      <c r="E18" s="29">
        <f t="shared" si="1"/>
        <v>1103599</v>
      </c>
      <c r="F18" s="29">
        <f t="shared" si="1"/>
        <v>631684</v>
      </c>
      <c r="G18" s="29">
        <f t="shared" si="1"/>
        <v>573866</v>
      </c>
      <c r="H18" s="29">
        <f t="shared" si="1"/>
        <v>358937</v>
      </c>
      <c r="I18" s="29">
        <f t="shared" si="1"/>
        <v>2730816</v>
      </c>
      <c r="J18" s="29">
        <f t="shared" si="1"/>
        <v>823109</v>
      </c>
      <c r="K18" s="29">
        <f t="shared" si="1"/>
        <v>626558</v>
      </c>
      <c r="L18" s="29">
        <f t="shared" si="1"/>
        <v>8454138</v>
      </c>
      <c r="M18" s="30">
        <f>SUM(L18/12422086)</f>
        <v>0.68057313401307962</v>
      </c>
    </row>
    <row r="19" spans="2:13" ht="5.25" customHeight="1" thickTop="1" x14ac:dyDescent="0.25">
      <c r="B19" s="28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2:13" x14ac:dyDescent="0.25">
      <c r="B20" s="28" t="s">
        <v>39</v>
      </c>
      <c r="C20" s="20">
        <v>22000</v>
      </c>
      <c r="D20" s="20">
        <v>0</v>
      </c>
      <c r="E20" s="20">
        <v>0</v>
      </c>
      <c r="F20" s="20">
        <v>0</v>
      </c>
      <c r="G20" s="20">
        <v>0</v>
      </c>
      <c r="H20" s="20">
        <v>4000</v>
      </c>
      <c r="I20" s="20">
        <v>19000</v>
      </c>
      <c r="J20" s="20">
        <v>10000</v>
      </c>
      <c r="K20" s="20">
        <v>12000</v>
      </c>
      <c r="L20" s="20">
        <f>SUM(C20:K20)</f>
        <v>67000</v>
      </c>
    </row>
    <row r="21" spans="2:13" x14ac:dyDescent="0.25">
      <c r="B21" s="28" t="s">
        <v>40</v>
      </c>
      <c r="C21" s="20">
        <v>11426</v>
      </c>
      <c r="D21" s="20">
        <v>0</v>
      </c>
      <c r="E21" s="20">
        <v>0</v>
      </c>
      <c r="F21" s="20">
        <v>0</v>
      </c>
      <c r="G21" s="20">
        <v>0</v>
      </c>
      <c r="H21" s="20">
        <v>21000</v>
      </c>
      <c r="I21" s="20">
        <v>58000</v>
      </c>
      <c r="J21" s="20">
        <f>35000-7000</f>
        <v>28000</v>
      </c>
      <c r="K21" s="20">
        <v>21000</v>
      </c>
      <c r="L21" s="20">
        <f>SUM(C21:K21)</f>
        <v>139426</v>
      </c>
    </row>
    <row r="22" spans="2:13" ht="15.75" thickBot="1" x14ac:dyDescent="0.3">
      <c r="B22" s="28"/>
      <c r="C22" s="29">
        <f>SUM(C20:C21)</f>
        <v>33426</v>
      </c>
      <c r="D22" s="29">
        <f t="shared" ref="D22:L22" si="2">SUM(D20:D21)</f>
        <v>0</v>
      </c>
      <c r="E22" s="29">
        <f t="shared" si="2"/>
        <v>0</v>
      </c>
      <c r="F22" s="29">
        <f t="shared" si="2"/>
        <v>0</v>
      </c>
      <c r="G22" s="29">
        <f t="shared" si="2"/>
        <v>0</v>
      </c>
      <c r="H22" s="29">
        <f t="shared" si="2"/>
        <v>25000</v>
      </c>
      <c r="I22" s="29">
        <f t="shared" si="2"/>
        <v>77000</v>
      </c>
      <c r="J22" s="29">
        <f t="shared" si="2"/>
        <v>38000</v>
      </c>
      <c r="K22" s="29">
        <f t="shared" si="2"/>
        <v>33000</v>
      </c>
      <c r="L22" s="29">
        <f t="shared" si="2"/>
        <v>206426</v>
      </c>
      <c r="M22" s="30">
        <f>SUM(L22/12422086)</f>
        <v>1.6617659868076909E-2</v>
      </c>
    </row>
    <row r="23" spans="2:13" ht="7.5" customHeight="1" thickTop="1" x14ac:dyDescent="0.25">
      <c r="B23" s="28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2:13" x14ac:dyDescent="0.25">
      <c r="B24" s="28" t="s">
        <v>41</v>
      </c>
      <c r="C24" s="20">
        <v>50992</v>
      </c>
      <c r="D24" s="20">
        <v>15000</v>
      </c>
      <c r="E24" s="20">
        <v>139341</v>
      </c>
      <c r="F24" s="20">
        <v>25000</v>
      </c>
      <c r="G24" s="20">
        <v>7200</v>
      </c>
      <c r="H24" s="20">
        <v>0</v>
      </c>
      <c r="I24" s="20">
        <v>0</v>
      </c>
      <c r="J24" s="20">
        <v>76000</v>
      </c>
      <c r="K24" s="20">
        <v>54000</v>
      </c>
      <c r="L24" s="20">
        <f>SUM(C24:K24)</f>
        <v>367533</v>
      </c>
    </row>
    <row r="25" spans="2:13" x14ac:dyDescent="0.25">
      <c r="B25" s="28" t="s">
        <v>42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95000</v>
      </c>
      <c r="I25" s="20">
        <v>0</v>
      </c>
      <c r="J25" s="20">
        <v>33000</v>
      </c>
      <c r="K25" s="20">
        <v>0</v>
      </c>
      <c r="L25" s="20">
        <f>SUM(C25:K25)</f>
        <v>128000</v>
      </c>
    </row>
    <row r="26" spans="2:13" x14ac:dyDescent="0.25">
      <c r="B26" s="28" t="s">
        <v>43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98576</v>
      </c>
      <c r="K26" s="20">
        <v>0</v>
      </c>
      <c r="L26" s="20">
        <f>SUM(C26:K26)</f>
        <v>98576</v>
      </c>
    </row>
    <row r="27" spans="2:13" ht="15.75" thickBot="1" x14ac:dyDescent="0.3">
      <c r="B27" s="28"/>
      <c r="C27" s="29">
        <f>SUM(C24:C26)</f>
        <v>50992</v>
      </c>
      <c r="D27" s="29">
        <f t="shared" ref="D27:L27" si="3">SUM(D24:D26)</f>
        <v>15000</v>
      </c>
      <c r="E27" s="29">
        <f t="shared" si="3"/>
        <v>139341</v>
      </c>
      <c r="F27" s="29">
        <f t="shared" si="3"/>
        <v>25000</v>
      </c>
      <c r="G27" s="29">
        <f t="shared" si="3"/>
        <v>7200</v>
      </c>
      <c r="H27" s="29">
        <f t="shared" si="3"/>
        <v>95000</v>
      </c>
      <c r="I27" s="29">
        <f t="shared" si="3"/>
        <v>0</v>
      </c>
      <c r="J27" s="29">
        <f t="shared" si="3"/>
        <v>207576</v>
      </c>
      <c r="K27" s="29">
        <f t="shared" si="3"/>
        <v>54000</v>
      </c>
      <c r="L27" s="29">
        <f t="shared" si="3"/>
        <v>594109</v>
      </c>
      <c r="M27" s="30">
        <f>SUM(L27/12422086)</f>
        <v>4.7826830372934143E-2</v>
      </c>
    </row>
    <row r="28" spans="2:13" ht="5.25" customHeight="1" thickTop="1" x14ac:dyDescent="0.25">
      <c r="B28" s="28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2:13" x14ac:dyDescent="0.25">
      <c r="B29" s="28" t="s">
        <v>44</v>
      </c>
      <c r="C29" s="20">
        <v>2500</v>
      </c>
      <c r="D29" s="20">
        <v>83300</v>
      </c>
      <c r="E29" s="20">
        <v>50000</v>
      </c>
      <c r="F29" s="20">
        <v>35500</v>
      </c>
      <c r="G29" s="20">
        <v>14900</v>
      </c>
      <c r="H29" s="20">
        <v>13200</v>
      </c>
      <c r="I29" s="20">
        <v>58850</v>
      </c>
      <c r="J29" s="20">
        <v>71000</v>
      </c>
      <c r="K29" s="20">
        <v>66500</v>
      </c>
      <c r="L29" s="20">
        <f>SUM(C29:K29)</f>
        <v>395750</v>
      </c>
    </row>
    <row r="30" spans="2:13" x14ac:dyDescent="0.25">
      <c r="B30" s="28" t="s">
        <v>45</v>
      </c>
      <c r="C30" s="20">
        <v>600</v>
      </c>
      <c r="D30" s="20">
        <v>1000</v>
      </c>
      <c r="E30" s="20">
        <v>5000</v>
      </c>
      <c r="F30" s="20">
        <v>1500</v>
      </c>
      <c r="G30" s="20">
        <v>0</v>
      </c>
      <c r="H30" s="20">
        <v>2900</v>
      </c>
      <c r="I30" s="20">
        <v>6675</v>
      </c>
      <c r="J30" s="20">
        <v>5000</v>
      </c>
      <c r="K30" s="20">
        <v>9300</v>
      </c>
      <c r="L30" s="20">
        <f t="shared" ref="L30:L52" si="4">SUM(C30:K30)</f>
        <v>31975</v>
      </c>
    </row>
    <row r="31" spans="2:13" x14ac:dyDescent="0.25">
      <c r="B31" s="28" t="s">
        <v>46</v>
      </c>
      <c r="C31" s="20">
        <v>0</v>
      </c>
      <c r="D31" s="20">
        <v>15000</v>
      </c>
      <c r="E31" s="20">
        <v>15000</v>
      </c>
      <c r="F31" s="20">
        <v>8000</v>
      </c>
      <c r="G31" s="20">
        <v>10000</v>
      </c>
      <c r="H31" s="20">
        <v>1150</v>
      </c>
      <c r="I31" s="20">
        <v>51500</v>
      </c>
      <c r="J31" s="20">
        <v>0</v>
      </c>
      <c r="K31" s="20">
        <v>0</v>
      </c>
      <c r="L31" s="20">
        <f t="shared" si="4"/>
        <v>100650</v>
      </c>
    </row>
    <row r="32" spans="2:13" x14ac:dyDescent="0.25">
      <c r="B32" s="28" t="s">
        <v>47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5000</v>
      </c>
      <c r="J32" s="20">
        <v>0</v>
      </c>
      <c r="K32" s="20">
        <v>3000</v>
      </c>
      <c r="L32" s="20">
        <f t="shared" si="4"/>
        <v>8000</v>
      </c>
    </row>
    <row r="33" spans="2:12" x14ac:dyDescent="0.25">
      <c r="B33" s="28" t="s">
        <v>48</v>
      </c>
      <c r="C33" s="20">
        <v>0</v>
      </c>
      <c r="D33" s="20">
        <v>600</v>
      </c>
      <c r="E33" s="20">
        <v>0</v>
      </c>
      <c r="F33" s="20">
        <v>0</v>
      </c>
      <c r="G33" s="20">
        <v>0</v>
      </c>
      <c r="H33" s="20">
        <v>306960</v>
      </c>
      <c r="I33" s="20">
        <v>500</v>
      </c>
      <c r="J33" s="20">
        <v>3500</v>
      </c>
      <c r="K33" s="20">
        <v>0</v>
      </c>
      <c r="L33" s="20">
        <f t="shared" si="4"/>
        <v>311560</v>
      </c>
    </row>
    <row r="34" spans="2:12" x14ac:dyDescent="0.25">
      <c r="B34" s="28" t="s">
        <v>49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6000</v>
      </c>
      <c r="K34" s="20">
        <v>0</v>
      </c>
      <c r="L34" s="20">
        <f t="shared" si="4"/>
        <v>6000</v>
      </c>
    </row>
    <row r="35" spans="2:12" x14ac:dyDescent="0.25">
      <c r="B35" s="28" t="s">
        <v>50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1500</v>
      </c>
      <c r="L35" s="20">
        <f t="shared" si="4"/>
        <v>1500</v>
      </c>
    </row>
    <row r="36" spans="2:12" x14ac:dyDescent="0.25">
      <c r="B36" s="28" t="s">
        <v>51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100000</v>
      </c>
      <c r="I36" s="20">
        <v>8000</v>
      </c>
      <c r="J36" s="20">
        <v>1000</v>
      </c>
      <c r="K36" s="20">
        <v>0</v>
      </c>
      <c r="L36" s="20">
        <f t="shared" si="4"/>
        <v>109000</v>
      </c>
    </row>
    <row r="37" spans="2:12" x14ac:dyDescent="0.25">
      <c r="B37" s="28" t="s">
        <v>52</v>
      </c>
      <c r="C37" s="20">
        <v>0</v>
      </c>
      <c r="D37" s="20">
        <v>170000</v>
      </c>
      <c r="E37" s="20">
        <v>96580</v>
      </c>
      <c r="F37" s="20">
        <v>48000</v>
      </c>
      <c r="G37" s="20">
        <v>78000</v>
      </c>
      <c r="H37" s="20">
        <v>0</v>
      </c>
      <c r="I37" s="20">
        <v>0</v>
      </c>
      <c r="J37" s="20">
        <v>580000</v>
      </c>
      <c r="K37" s="20">
        <v>0</v>
      </c>
      <c r="L37" s="20">
        <f t="shared" si="4"/>
        <v>972580</v>
      </c>
    </row>
    <row r="38" spans="2:12" x14ac:dyDescent="0.25">
      <c r="B38" s="28" t="s">
        <v>53</v>
      </c>
      <c r="C38" s="20">
        <v>0</v>
      </c>
      <c r="D38" s="20">
        <v>13460</v>
      </c>
      <c r="E38" s="20">
        <v>22464</v>
      </c>
      <c r="F38" s="20">
        <v>5000</v>
      </c>
      <c r="G38" s="20">
        <v>1920</v>
      </c>
      <c r="H38" s="20">
        <v>0</v>
      </c>
      <c r="I38" s="20">
        <v>500</v>
      </c>
      <c r="J38" s="20">
        <v>60000</v>
      </c>
      <c r="K38" s="20">
        <v>3000</v>
      </c>
      <c r="L38" s="20">
        <f t="shared" si="4"/>
        <v>106344</v>
      </c>
    </row>
    <row r="39" spans="2:12" x14ac:dyDescent="0.25">
      <c r="B39" s="28" t="s">
        <v>54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9000</v>
      </c>
      <c r="L39" s="20">
        <f t="shared" si="4"/>
        <v>9000</v>
      </c>
    </row>
    <row r="40" spans="2:12" x14ac:dyDescent="0.25">
      <c r="B40" s="28" t="s">
        <v>55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2000</v>
      </c>
      <c r="J40" s="20">
        <v>0</v>
      </c>
      <c r="K40" s="20">
        <v>0</v>
      </c>
      <c r="L40" s="20">
        <f t="shared" si="4"/>
        <v>2000</v>
      </c>
    </row>
    <row r="41" spans="2:12" x14ac:dyDescent="0.25">
      <c r="B41" s="28" t="s">
        <v>56</v>
      </c>
      <c r="C41" s="20">
        <v>65493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f t="shared" si="4"/>
        <v>65493</v>
      </c>
    </row>
    <row r="42" spans="2:12" x14ac:dyDescent="0.25">
      <c r="B42" s="28" t="s">
        <v>57</v>
      </c>
      <c r="C42" s="20">
        <v>0</v>
      </c>
      <c r="D42" s="20">
        <v>40000</v>
      </c>
      <c r="E42" s="20">
        <v>27000</v>
      </c>
      <c r="F42" s="20">
        <v>17000</v>
      </c>
      <c r="G42" s="20">
        <v>9250</v>
      </c>
      <c r="H42" s="20">
        <v>0</v>
      </c>
      <c r="I42" s="20">
        <v>1000</v>
      </c>
      <c r="J42" s="20">
        <v>217500</v>
      </c>
      <c r="K42" s="20">
        <v>0</v>
      </c>
      <c r="L42" s="20">
        <f t="shared" si="4"/>
        <v>311750</v>
      </c>
    </row>
    <row r="43" spans="2:12" x14ac:dyDescent="0.25">
      <c r="B43" s="28" t="s">
        <v>58</v>
      </c>
      <c r="C43" s="20">
        <v>14001</v>
      </c>
      <c r="D43" s="20">
        <v>1100</v>
      </c>
      <c r="E43" s="20">
        <v>600</v>
      </c>
      <c r="F43" s="20">
        <v>0</v>
      </c>
      <c r="G43" s="20">
        <v>0</v>
      </c>
      <c r="H43" s="20">
        <v>949</v>
      </c>
      <c r="I43" s="20">
        <v>6246</v>
      </c>
      <c r="J43" s="20">
        <v>4800</v>
      </c>
      <c r="K43" s="20">
        <v>1425</v>
      </c>
      <c r="L43" s="20">
        <f t="shared" si="4"/>
        <v>29121</v>
      </c>
    </row>
    <row r="44" spans="2:12" x14ac:dyDescent="0.25">
      <c r="B44" s="28" t="s">
        <v>59</v>
      </c>
      <c r="C44" s="20">
        <v>0</v>
      </c>
      <c r="D44" s="20">
        <v>28840</v>
      </c>
      <c r="E44" s="20">
        <v>14420</v>
      </c>
      <c r="F44" s="20">
        <v>10240</v>
      </c>
      <c r="G44" s="20">
        <v>9320</v>
      </c>
      <c r="H44" s="20">
        <v>0</v>
      </c>
      <c r="I44" s="20">
        <v>500</v>
      </c>
      <c r="J44" s="20">
        <v>0</v>
      </c>
      <c r="K44" s="20">
        <v>47820</v>
      </c>
      <c r="L44" s="20">
        <f t="shared" si="4"/>
        <v>111140</v>
      </c>
    </row>
    <row r="45" spans="2:12" x14ac:dyDescent="0.25">
      <c r="B45" s="28" t="s">
        <v>60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1000</v>
      </c>
      <c r="J45" s="20">
        <v>0</v>
      </c>
      <c r="K45" s="20">
        <v>15000</v>
      </c>
      <c r="L45" s="20">
        <f t="shared" si="4"/>
        <v>16000</v>
      </c>
    </row>
    <row r="46" spans="2:12" x14ac:dyDescent="0.25">
      <c r="B46" s="28" t="s">
        <v>61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65000</v>
      </c>
      <c r="L46" s="20">
        <f t="shared" si="4"/>
        <v>65000</v>
      </c>
    </row>
    <row r="47" spans="2:12" x14ac:dyDescent="0.25">
      <c r="B47" s="28" t="s">
        <v>62</v>
      </c>
      <c r="C47" s="20">
        <v>0</v>
      </c>
      <c r="D47" s="20">
        <v>17500</v>
      </c>
      <c r="E47" s="20">
        <v>10000</v>
      </c>
      <c r="F47" s="20">
        <v>9000</v>
      </c>
      <c r="G47" s="20">
        <v>5000</v>
      </c>
      <c r="H47" s="20">
        <v>0</v>
      </c>
      <c r="I47" s="20">
        <v>17000</v>
      </c>
      <c r="J47" s="20">
        <v>25000</v>
      </c>
      <c r="K47" s="20">
        <v>0</v>
      </c>
      <c r="L47" s="20">
        <f t="shared" si="4"/>
        <v>83500</v>
      </c>
    </row>
    <row r="48" spans="2:12" x14ac:dyDescent="0.25">
      <c r="B48" s="28" t="s">
        <v>63</v>
      </c>
      <c r="C48" s="20">
        <v>30000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15000</v>
      </c>
      <c r="J48" s="20">
        <f>60000-21000-5000</f>
        <v>34000</v>
      </c>
      <c r="K48" s="20">
        <v>7000</v>
      </c>
      <c r="L48" s="20">
        <f t="shared" si="4"/>
        <v>86000</v>
      </c>
    </row>
    <row r="49" spans="2:13" x14ac:dyDescent="0.25">
      <c r="B49" s="28" t="s">
        <v>64</v>
      </c>
      <c r="C49" s="20">
        <v>30000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f t="shared" si="4"/>
        <v>30000</v>
      </c>
    </row>
    <row r="50" spans="2:13" x14ac:dyDescent="0.25">
      <c r="B50" s="28" t="s">
        <v>65</v>
      </c>
      <c r="C50" s="20">
        <v>25000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f t="shared" si="4"/>
        <v>25000</v>
      </c>
    </row>
    <row r="51" spans="2:13" x14ac:dyDescent="0.25">
      <c r="B51" s="28" t="s">
        <v>66</v>
      </c>
      <c r="C51" s="20">
        <v>50000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f t="shared" si="4"/>
        <v>50000</v>
      </c>
    </row>
    <row r="52" spans="2:13" x14ac:dyDescent="0.25">
      <c r="B52" s="28" t="s">
        <v>67</v>
      </c>
      <c r="C52" s="20">
        <v>12000</v>
      </c>
      <c r="D52" s="20">
        <v>7000</v>
      </c>
      <c r="E52" s="20">
        <v>2500</v>
      </c>
      <c r="F52" s="20">
        <v>1500</v>
      </c>
      <c r="G52" s="20">
        <v>0</v>
      </c>
      <c r="H52" s="20">
        <v>6000</v>
      </c>
      <c r="I52" s="20">
        <v>1000</v>
      </c>
      <c r="J52" s="20">
        <f>6350+5000</f>
        <v>11350</v>
      </c>
      <c r="K52" s="20">
        <v>5500</v>
      </c>
      <c r="L52" s="20">
        <f t="shared" si="4"/>
        <v>46850</v>
      </c>
    </row>
    <row r="53" spans="2:13" ht="15.75" thickBot="1" x14ac:dyDescent="0.3">
      <c r="B53" s="28"/>
      <c r="C53" s="29">
        <f t="shared" ref="C53:L53" si="5">SUM(C29:C52)</f>
        <v>229594</v>
      </c>
      <c r="D53" s="29">
        <f t="shared" si="5"/>
        <v>377800</v>
      </c>
      <c r="E53" s="29">
        <f t="shared" si="5"/>
        <v>243564</v>
      </c>
      <c r="F53" s="29">
        <f t="shared" si="5"/>
        <v>135740</v>
      </c>
      <c r="G53" s="29">
        <f t="shared" si="5"/>
        <v>128390</v>
      </c>
      <c r="H53" s="29">
        <f t="shared" si="5"/>
        <v>431159</v>
      </c>
      <c r="I53" s="29">
        <f t="shared" si="5"/>
        <v>174771</v>
      </c>
      <c r="J53" s="29">
        <f t="shared" si="5"/>
        <v>1019150</v>
      </c>
      <c r="K53" s="29">
        <f t="shared" si="5"/>
        <v>234045</v>
      </c>
      <c r="L53" s="29">
        <f t="shared" si="5"/>
        <v>2974213</v>
      </c>
      <c r="M53" s="30">
        <f>SUM(L53/12422086)</f>
        <v>0.23942943238357872</v>
      </c>
    </row>
    <row r="54" spans="2:13" ht="5.25" customHeight="1" thickTop="1" x14ac:dyDescent="0.25">
      <c r="B54" s="28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2:13" x14ac:dyDescent="0.25">
      <c r="B55" s="28" t="s">
        <v>68</v>
      </c>
      <c r="C55" s="20">
        <v>0</v>
      </c>
      <c r="D55" s="20">
        <v>19450</v>
      </c>
      <c r="E55" s="20">
        <v>2500</v>
      </c>
      <c r="F55" s="20">
        <v>0</v>
      </c>
      <c r="G55" s="20">
        <v>20000</v>
      </c>
      <c r="H55" s="20">
        <v>1000</v>
      </c>
      <c r="I55" s="20">
        <v>27000</v>
      </c>
      <c r="J55" s="20">
        <v>49000</v>
      </c>
      <c r="K55" s="20">
        <v>3000</v>
      </c>
      <c r="L55" s="20">
        <f>SUM(C55:K55)</f>
        <v>121950</v>
      </c>
    </row>
    <row r="56" spans="2:13" x14ac:dyDescent="0.25">
      <c r="B56" s="28" t="s">
        <v>69</v>
      </c>
      <c r="C56" s="20">
        <v>0</v>
      </c>
      <c r="D56" s="20">
        <v>5000</v>
      </c>
      <c r="E56" s="20">
        <v>5000</v>
      </c>
      <c r="F56" s="20">
        <v>3500</v>
      </c>
      <c r="G56" s="20">
        <v>0</v>
      </c>
      <c r="H56" s="20">
        <v>0</v>
      </c>
      <c r="I56" s="20">
        <v>36000</v>
      </c>
      <c r="J56" s="20">
        <v>6000</v>
      </c>
      <c r="K56" s="20">
        <v>4000</v>
      </c>
      <c r="L56" s="20">
        <f>SUM(C56:K56)</f>
        <v>59500</v>
      </c>
    </row>
    <row r="57" spans="2:13" x14ac:dyDescent="0.25">
      <c r="B57" s="28" t="s">
        <v>70</v>
      </c>
      <c r="C57" s="20">
        <v>0</v>
      </c>
      <c r="D57" s="20">
        <v>2000</v>
      </c>
      <c r="E57" s="20">
        <v>5000</v>
      </c>
      <c r="F57" s="20">
        <v>2000</v>
      </c>
      <c r="G57" s="20">
        <v>0</v>
      </c>
      <c r="H57" s="20">
        <v>2000</v>
      </c>
      <c r="I57" s="20">
        <v>750</v>
      </c>
      <c r="J57" s="20">
        <v>0</v>
      </c>
      <c r="K57" s="20">
        <v>0</v>
      </c>
      <c r="L57" s="20">
        <f>SUM(C57:K57)</f>
        <v>11750</v>
      </c>
    </row>
    <row r="58" spans="2:13" ht="15.75" thickBot="1" x14ac:dyDescent="0.3">
      <c r="C58" s="29">
        <f t="shared" ref="C58:L58" si="6">SUM(C55:C57)</f>
        <v>0</v>
      </c>
      <c r="D58" s="29">
        <f t="shared" si="6"/>
        <v>26450</v>
      </c>
      <c r="E58" s="29">
        <f t="shared" si="6"/>
        <v>12500</v>
      </c>
      <c r="F58" s="29">
        <f t="shared" si="6"/>
        <v>5500</v>
      </c>
      <c r="G58" s="29">
        <f t="shared" si="6"/>
        <v>20000</v>
      </c>
      <c r="H58" s="29">
        <f t="shared" si="6"/>
        <v>3000</v>
      </c>
      <c r="I58" s="29">
        <f t="shared" si="6"/>
        <v>63750</v>
      </c>
      <c r="J58" s="29">
        <f t="shared" si="6"/>
        <v>55000</v>
      </c>
      <c r="K58" s="29">
        <f t="shared" si="6"/>
        <v>7000</v>
      </c>
      <c r="L58" s="29">
        <f t="shared" si="6"/>
        <v>193200</v>
      </c>
      <c r="M58" s="32">
        <f>SUM(L58/12422086)</f>
        <v>1.555294336233061E-2</v>
      </c>
    </row>
    <row r="59" spans="2:13" ht="24" customHeight="1" thickTop="1" thickBot="1" x14ac:dyDescent="0.3">
      <c r="C59" s="33">
        <f t="shared" ref="C59:L59" si="7">SUM(C18+C22+C27+C53+C58)</f>
        <v>530102</v>
      </c>
      <c r="D59" s="33">
        <f t="shared" si="7"/>
        <v>1808729</v>
      </c>
      <c r="E59" s="33">
        <f t="shared" si="7"/>
        <v>1499004</v>
      </c>
      <c r="F59" s="33">
        <f t="shared" si="7"/>
        <v>797924</v>
      </c>
      <c r="G59" s="33">
        <f t="shared" si="7"/>
        <v>729456</v>
      </c>
      <c r="H59" s="33">
        <f t="shared" si="7"/>
        <v>913096</v>
      </c>
      <c r="I59" s="33">
        <f t="shared" si="7"/>
        <v>3046337</v>
      </c>
      <c r="J59" s="33">
        <f t="shared" si="7"/>
        <v>2142835</v>
      </c>
      <c r="K59" s="33">
        <f t="shared" si="7"/>
        <v>954603</v>
      </c>
      <c r="L59" s="33">
        <f t="shared" si="7"/>
        <v>12422086</v>
      </c>
      <c r="M59" s="30">
        <f>SUM(M18:M58)</f>
        <v>1</v>
      </c>
    </row>
    <row r="60" spans="2:13" ht="16.5" thickTop="1" thickBot="1" x14ac:dyDescent="0.3">
      <c r="C60" s="34">
        <f>SUM(C59/L59)</f>
        <v>4.2674153117278367E-2</v>
      </c>
      <c r="D60" s="34">
        <f>SUM(D59/L59)</f>
        <v>0.14560589904143315</v>
      </c>
      <c r="E60" s="34">
        <f>SUM(E59/L59)</f>
        <v>0.12067248608647534</v>
      </c>
      <c r="F60" s="34">
        <f>SUM(F59/L59)</f>
        <v>6.4234300100643321E-2</v>
      </c>
      <c r="G60" s="34">
        <f>SUM(G59/L59)</f>
        <v>5.8722504416730006E-2</v>
      </c>
      <c r="H60" s="34">
        <f>SUM(H59/L59)</f>
        <v>7.3505850788667865E-2</v>
      </c>
      <c r="I60" s="34">
        <f>SUM(I59/L59)</f>
        <v>0.24523554256507321</v>
      </c>
      <c r="J60" s="34">
        <f>SUM(J59/L59)</f>
        <v>0.17250202582722418</v>
      </c>
      <c r="K60" s="34">
        <f>SUM(K59/L59)</f>
        <v>7.6847238056474573E-2</v>
      </c>
      <c r="L60" s="34">
        <f>SUM(L59/L59)</f>
        <v>1</v>
      </c>
      <c r="M60" s="35">
        <f>SUM(C60:K60)</f>
        <v>1</v>
      </c>
    </row>
    <row r="61" spans="2:13" ht="15.75" thickTop="1" x14ac:dyDescent="0.25">
      <c r="C61" s="31"/>
      <c r="D61" s="31"/>
      <c r="E61" s="31"/>
      <c r="F61" s="31"/>
      <c r="K61" s="31"/>
      <c r="L61" s="31"/>
    </row>
    <row r="62" spans="2:13" x14ac:dyDescent="0.25"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2:13" x14ac:dyDescent="0.25"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spans="2:13" x14ac:dyDescent="0.25"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3:12" x14ac:dyDescent="0.25">
      <c r="C65" s="31"/>
      <c r="D65" s="31"/>
      <c r="E65" s="31"/>
      <c r="F65" s="31"/>
      <c r="G65" s="31"/>
      <c r="H65" s="31"/>
      <c r="I65" s="31"/>
      <c r="J65" s="31"/>
      <c r="K65" s="31"/>
      <c r="L65" s="31"/>
    </row>
  </sheetData>
  <mergeCells count="10">
    <mergeCell ref="C4:C5"/>
    <mergeCell ref="I4:I5"/>
    <mergeCell ref="J4:J5"/>
    <mergeCell ref="K4:K5"/>
    <mergeCell ref="L4:L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Variables</vt:lpstr>
      <vt:lpstr>Facility Fee.1</vt:lpstr>
      <vt:lpstr>StudentHealthReg(4yrs)</vt:lpstr>
      <vt:lpstr>Proj Rev </vt:lpstr>
      <vt:lpstr>StudentHealthReg(3YRS)</vt:lpstr>
      <vt:lpstr>Proj Exp Cons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Information Technology</cp:lastModifiedBy>
  <dcterms:created xsi:type="dcterms:W3CDTF">2014-11-11T21:53:37Z</dcterms:created>
  <dcterms:modified xsi:type="dcterms:W3CDTF">2015-10-05T04:57:35Z</dcterms:modified>
</cp:coreProperties>
</file>