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elle\Desktop\rbt-16Oct2022\Budget\2024 Budget\VPAS\"/>
    </mc:Choice>
  </mc:AlternateContent>
  <bookViews>
    <workbookView xWindow="0" yWindow="0" windowWidth="28800" windowHeight="11835"/>
  </bookViews>
  <sheets>
    <sheet name="rev_exp" sheetId="12" r:id="rId1"/>
    <sheet name="1.Directions" sheetId="4" r:id="rId2"/>
    <sheet name="2.Performance_Items" sheetId="1" r:id="rId3"/>
    <sheet name="3.Pay Level" sheetId="9" r:id="rId4"/>
    <sheet name="4.Fringe_Benefits" sheetId="7" r:id="rId5"/>
    <sheet name="5.Budget_Items" sheetId="2" r:id="rId6"/>
    <sheet name="line item" sheetId="10" r:id="rId7"/>
    <sheet name="Activity Cost" sheetId="5" r:id="rId8"/>
    <sheet name="Pay Levels" sheetId="8" state="hidden" r:id="rId9"/>
    <sheet name="Summary" sheetId="11" state="hidden" r:id="rId10"/>
  </sheets>
  <definedNames>
    <definedName name="_xlnm.Print_Area" localSheetId="2">'2.Performance_Items'!$A$2:$M$15</definedName>
  </definedNames>
  <calcPr calcId="152511"/>
</workbook>
</file>

<file path=xl/calcChain.xml><?xml version="1.0" encoding="utf-8"?>
<calcChain xmlns="http://schemas.openxmlformats.org/spreadsheetml/2006/main">
  <c r="G7" i="12" l="1"/>
  <c r="I45" i="12"/>
  <c r="I44" i="12"/>
  <c r="G25" i="12" l="1"/>
  <c r="F19" i="10" l="1"/>
  <c r="G20" i="12" s="1"/>
  <c r="F20" i="10"/>
  <c r="G21" i="12" s="1"/>
  <c r="F23" i="10"/>
  <c r="R14" i="9"/>
  <c r="Q14" i="9"/>
  <c r="I41" i="12" l="1"/>
  <c r="I40" i="12"/>
  <c r="I36" i="12"/>
  <c r="C15" i="2" l="1"/>
  <c r="B43" i="2"/>
  <c r="O3" i="9"/>
  <c r="P3" i="9"/>
  <c r="O4" i="9"/>
  <c r="P4" i="9"/>
  <c r="O5" i="9"/>
  <c r="P5" i="9"/>
  <c r="O6" i="9"/>
  <c r="Q6" i="9" s="1"/>
  <c r="P6" i="9"/>
  <c r="O7" i="9"/>
  <c r="P7" i="9"/>
  <c r="O8" i="9"/>
  <c r="Q8" i="9" s="1"/>
  <c r="P8" i="9"/>
  <c r="O9" i="9"/>
  <c r="O10" i="9"/>
  <c r="O11" i="9"/>
  <c r="P11" i="9"/>
  <c r="O12" i="9"/>
  <c r="O13" i="9"/>
  <c r="P13" i="9"/>
  <c r="Q13" i="9" s="1"/>
  <c r="H40" i="2"/>
  <c r="H43" i="2"/>
  <c r="F6" i="5"/>
  <c r="F40" i="2"/>
  <c r="J40" i="2"/>
  <c r="E2" i="7"/>
  <c r="A12" i="7"/>
  <c r="A11" i="7"/>
  <c r="A10" i="7"/>
  <c r="A9" i="7"/>
  <c r="A8" i="7"/>
  <c r="A7" i="7"/>
  <c r="A6" i="7"/>
  <c r="A5" i="7"/>
  <c r="A4" i="7"/>
  <c r="A3" i="7"/>
  <c r="A2" i="7"/>
  <c r="P9" i="9"/>
  <c r="P10" i="9"/>
  <c r="P12" i="9"/>
  <c r="E14" i="7"/>
  <c r="G16" i="12" s="1"/>
  <c r="I16" i="12" s="1"/>
  <c r="B13" i="7"/>
  <c r="D15" i="2" s="1"/>
  <c r="F15" i="2" s="1"/>
  <c r="I37" i="12"/>
  <c r="I38" i="12" s="1"/>
  <c r="I21" i="12"/>
  <c r="I25" i="12"/>
  <c r="I20" i="12"/>
  <c r="I22" i="12"/>
  <c r="I18" i="12"/>
  <c r="I19" i="12"/>
  <c r="I23" i="12"/>
  <c r="I24" i="12"/>
  <c r="F15" i="9"/>
  <c r="F41" i="2"/>
  <c r="F43" i="2" s="1"/>
  <c r="F5" i="5" s="1"/>
  <c r="F8" i="5" s="1"/>
  <c r="F39" i="2"/>
  <c r="H41" i="2"/>
  <c r="H39" i="2"/>
  <c r="J41" i="2"/>
  <c r="J43" i="2" s="1"/>
  <c r="F7" i="5" s="1"/>
  <c r="J39" i="2"/>
  <c r="L40" i="2"/>
  <c r="G18" i="12"/>
  <c r="G101" i="12"/>
  <c r="G8" i="12" s="1"/>
  <c r="I46" i="12"/>
  <c r="I42" i="12"/>
  <c r="F48" i="2"/>
  <c r="L48" i="2" s="1"/>
  <c r="L49" i="2" s="1"/>
  <c r="H48" i="2"/>
  <c r="H49" i="2" s="1"/>
  <c r="G6" i="5" s="1"/>
  <c r="J48" i="2"/>
  <c r="J49" i="2" s="1"/>
  <c r="G7" i="5" s="1"/>
  <c r="K48" i="2"/>
  <c r="F42" i="2"/>
  <c r="H42" i="2"/>
  <c r="J42" i="2"/>
  <c r="L42" i="2"/>
  <c r="K42" i="2"/>
  <c r="K41" i="2"/>
  <c r="K40" i="2"/>
  <c r="K39" i="2"/>
  <c r="F38" i="2"/>
  <c r="H38" i="2"/>
  <c r="J38" i="2"/>
  <c r="L38" i="2"/>
  <c r="K38" i="2"/>
  <c r="F32" i="2"/>
  <c r="H32" i="2"/>
  <c r="J32" i="2"/>
  <c r="L32" i="2"/>
  <c r="K32" i="2"/>
  <c r="F31" i="2"/>
  <c r="H31" i="2"/>
  <c r="J31" i="2"/>
  <c r="L31" i="2"/>
  <c r="K31" i="2"/>
  <c r="F30" i="2"/>
  <c r="H30" i="2"/>
  <c r="J30" i="2"/>
  <c r="L30" i="2"/>
  <c r="K30" i="2"/>
  <c r="F29" i="2"/>
  <c r="H29" i="2"/>
  <c r="J29" i="2"/>
  <c r="L29" i="2"/>
  <c r="K29" i="2"/>
  <c r="F23" i="2"/>
  <c r="H23" i="2"/>
  <c r="J23" i="2"/>
  <c r="L23" i="2"/>
  <c r="K23" i="2"/>
  <c r="F22" i="2"/>
  <c r="H22" i="2"/>
  <c r="J22" i="2"/>
  <c r="L22" i="2"/>
  <c r="K22" i="2"/>
  <c r="F21" i="2"/>
  <c r="H21" i="2"/>
  <c r="J21" i="2"/>
  <c r="L21" i="2"/>
  <c r="K21" i="2"/>
  <c r="K15" i="2"/>
  <c r="K14" i="2"/>
  <c r="K13" i="2"/>
  <c r="K12" i="2"/>
  <c r="K11" i="2"/>
  <c r="K10" i="2"/>
  <c r="K9" i="2"/>
  <c r="K8" i="2"/>
  <c r="K7" i="2"/>
  <c r="K6" i="2"/>
  <c r="K5" i="2"/>
  <c r="K4" i="2"/>
  <c r="B4" i="2"/>
  <c r="B5" i="2"/>
  <c r="B6" i="2"/>
  <c r="B7" i="2"/>
  <c r="B8" i="2"/>
  <c r="B9" i="2"/>
  <c r="B10" i="2"/>
  <c r="B11" i="2"/>
  <c r="B12" i="2"/>
  <c r="B13" i="2"/>
  <c r="B14" i="2"/>
  <c r="D14" i="7"/>
  <c r="J15" i="9"/>
  <c r="B49" i="2"/>
  <c r="B24" i="2"/>
  <c r="B33" i="2"/>
  <c r="F8" i="10"/>
  <c r="F11" i="10"/>
  <c r="L24" i="2"/>
  <c r="F14" i="10"/>
  <c r="L33" i="2"/>
  <c r="F15" i="10"/>
  <c r="F21" i="10"/>
  <c r="H24" i="2"/>
  <c r="D6" i="5"/>
  <c r="H33" i="2"/>
  <c r="E6" i="5"/>
  <c r="J24" i="2"/>
  <c r="D7" i="5"/>
  <c r="J33" i="2"/>
  <c r="E7" i="5"/>
  <c r="F24" i="2"/>
  <c r="D5" i="5"/>
  <c r="F33" i="2"/>
  <c r="E5" i="5"/>
  <c r="F49" i="2"/>
  <c r="G5" i="5" s="1"/>
  <c r="B7" i="5"/>
  <c r="B5" i="5"/>
  <c r="B6" i="5"/>
  <c r="I24" i="2"/>
  <c r="D8" i="5"/>
  <c r="E8" i="5"/>
  <c r="L41" i="2" l="1"/>
  <c r="L43" i="2" s="1"/>
  <c r="Q10" i="9"/>
  <c r="R10" i="9" s="1"/>
  <c r="P15" i="9"/>
  <c r="Q4" i="9"/>
  <c r="B3" i="7" s="1"/>
  <c r="Q5" i="9"/>
  <c r="O15" i="9"/>
  <c r="G8" i="5"/>
  <c r="G13" i="7"/>
  <c r="F12" i="7"/>
  <c r="B12" i="7"/>
  <c r="R13" i="9"/>
  <c r="C12" i="7"/>
  <c r="Q12" i="9"/>
  <c r="B11" i="7" s="1"/>
  <c r="J15" i="2"/>
  <c r="H15" i="2"/>
  <c r="L15" i="2" s="1"/>
  <c r="Q11" i="9"/>
  <c r="C12" i="2" s="1"/>
  <c r="Q9" i="9"/>
  <c r="C10" i="2" s="1"/>
  <c r="B16" i="2"/>
  <c r="Q7" i="9"/>
  <c r="F6" i="7" s="1"/>
  <c r="C6" i="2"/>
  <c r="R5" i="9"/>
  <c r="Q3" i="9"/>
  <c r="R6" i="9"/>
  <c r="C7" i="2"/>
  <c r="B5" i="7"/>
  <c r="C5" i="7"/>
  <c r="F5" i="7"/>
  <c r="C8" i="7"/>
  <c r="R8" i="9"/>
  <c r="C9" i="2"/>
  <c r="F7" i="7"/>
  <c r="B7" i="7"/>
  <c r="C7" i="7"/>
  <c r="C14" i="2"/>
  <c r="F4" i="7"/>
  <c r="C4" i="7"/>
  <c r="B4" i="7"/>
  <c r="I47" i="12"/>
  <c r="I68" i="12" s="1"/>
  <c r="F9" i="7" l="1"/>
  <c r="G9" i="7" s="1"/>
  <c r="D11" i="2" s="1"/>
  <c r="C9" i="7"/>
  <c r="B9" i="7"/>
  <c r="C11" i="2"/>
  <c r="F8" i="7"/>
  <c r="F3" i="7"/>
  <c r="C5" i="2"/>
  <c r="C3" i="7"/>
  <c r="R4" i="9"/>
  <c r="C6" i="7"/>
  <c r="R7" i="9"/>
  <c r="C8" i="2"/>
  <c r="Q15" i="9"/>
  <c r="B8" i="7"/>
  <c r="G8" i="7" s="1"/>
  <c r="D10" i="2" s="1"/>
  <c r="B6" i="7"/>
  <c r="G9" i="12"/>
  <c r="G12" i="7"/>
  <c r="D14" i="2" s="1"/>
  <c r="J14" i="2" s="1"/>
  <c r="C13" i="2"/>
  <c r="C11" i="7"/>
  <c r="F11" i="7"/>
  <c r="R12" i="9"/>
  <c r="F10" i="7"/>
  <c r="R11" i="9"/>
  <c r="C10" i="7"/>
  <c r="B10" i="7"/>
  <c r="R9" i="9"/>
  <c r="C4" i="2"/>
  <c r="B2" i="7"/>
  <c r="R3" i="9"/>
  <c r="R15" i="9" s="1"/>
  <c r="F2" i="7"/>
  <c r="C2" i="7"/>
  <c r="G11" i="7"/>
  <c r="D13" i="2" s="1"/>
  <c r="G5" i="7"/>
  <c r="D7" i="2" s="1"/>
  <c r="G4" i="7"/>
  <c r="D6" i="2" s="1"/>
  <c r="G7" i="7"/>
  <c r="D9" i="2" s="1"/>
  <c r="G6" i="7" l="1"/>
  <c r="D8" i="2" s="1"/>
  <c r="J8" i="2" s="1"/>
  <c r="G3" i="7"/>
  <c r="D5" i="2" s="1"/>
  <c r="J5" i="2" s="1"/>
  <c r="G10" i="7"/>
  <c r="D12" i="2" s="1"/>
  <c r="F14" i="7"/>
  <c r="F9" i="10" s="1"/>
  <c r="H14" i="2"/>
  <c r="F14" i="2"/>
  <c r="C16" i="2"/>
  <c r="F6" i="10" s="1"/>
  <c r="G13" i="12" s="1"/>
  <c r="C14" i="7"/>
  <c r="F10" i="10" s="1"/>
  <c r="H8" i="2"/>
  <c r="G2" i="7"/>
  <c r="D4" i="2" s="1"/>
  <c r="J4" i="2" s="1"/>
  <c r="B14" i="7"/>
  <c r="G14" i="12" s="1"/>
  <c r="I14" i="12" s="1"/>
  <c r="H11" i="2"/>
  <c r="F11" i="2"/>
  <c r="J11" i="2"/>
  <c r="J9" i="2"/>
  <c r="F9" i="2"/>
  <c r="H9" i="2"/>
  <c r="F13" i="2"/>
  <c r="H13" i="2"/>
  <c r="J13" i="2"/>
  <c r="J10" i="2"/>
  <c r="H10" i="2"/>
  <c r="F10" i="2"/>
  <c r="F7" i="2"/>
  <c r="H7" i="2"/>
  <c r="J7" i="2"/>
  <c r="F6" i="2"/>
  <c r="H6" i="2"/>
  <c r="J6" i="2"/>
  <c r="H12" i="2"/>
  <c r="J12" i="2"/>
  <c r="F12" i="2"/>
  <c r="G15" i="12" l="1"/>
  <c r="I15" i="12" s="1"/>
  <c r="F8" i="2"/>
  <c r="L8" i="2" s="1"/>
  <c r="H5" i="2"/>
  <c r="H16" i="2" s="1"/>
  <c r="C6" i="5" s="1"/>
  <c r="H6" i="5" s="1"/>
  <c r="F5" i="2"/>
  <c r="L5" i="2" s="1"/>
  <c r="G14" i="7"/>
  <c r="H4" i="2"/>
  <c r="L14" i="2"/>
  <c r="G17" i="12"/>
  <c r="I17" i="12" s="1"/>
  <c r="L12" i="2"/>
  <c r="L10" i="2"/>
  <c r="F7" i="10"/>
  <c r="F12" i="10" s="1"/>
  <c r="F24" i="10" s="1"/>
  <c r="F4" i="2"/>
  <c r="L4" i="2" s="1"/>
  <c r="D16" i="2"/>
  <c r="B51" i="2" s="1"/>
  <c r="I13" i="12"/>
  <c r="L6" i="2"/>
  <c r="L9" i="2"/>
  <c r="J16" i="2"/>
  <c r="C7" i="5" s="1"/>
  <c r="H7" i="5" s="1"/>
  <c r="L7" i="2"/>
  <c r="L13" i="2"/>
  <c r="L11" i="2"/>
  <c r="G26" i="12" l="1"/>
  <c r="I28" i="12" s="1"/>
  <c r="I26" i="12"/>
  <c r="F16" i="2"/>
  <c r="C5" i="5" s="1"/>
  <c r="C8" i="5" s="1"/>
  <c r="L16" i="2"/>
  <c r="N9" i="11"/>
  <c r="N7" i="11"/>
  <c r="G28" i="12" l="1"/>
  <c r="H5" i="5"/>
  <c r="H8" i="5" s="1"/>
  <c r="N5" i="11" l="1"/>
  <c r="N11" i="11" s="1"/>
  <c r="N12" i="11" s="1"/>
  <c r="I7" i="5"/>
  <c r="I6" i="5"/>
  <c r="I5" i="5"/>
  <c r="I8" i="5" l="1"/>
</calcChain>
</file>

<file path=xl/sharedStrings.xml><?xml version="1.0" encoding="utf-8"?>
<sst xmlns="http://schemas.openxmlformats.org/spreadsheetml/2006/main" count="382" uniqueCount="226">
  <si>
    <t>Special Contract</t>
    <phoneticPr fontId="2" type="noConversion"/>
  </si>
  <si>
    <t xml:space="preserve"> </t>
    <phoneticPr fontId="2" type="noConversion"/>
  </si>
  <si>
    <t>Chuuk and Yap</t>
    <phoneticPr fontId="2" type="noConversion"/>
  </si>
  <si>
    <t>Kosrae</t>
    <phoneticPr fontId="2" type="noConversion"/>
  </si>
  <si>
    <t>Personnel Listing</t>
  </si>
  <si>
    <t>Travel</t>
  </si>
  <si>
    <t>Destination</t>
  </si>
  <si>
    <t>Domestic</t>
  </si>
  <si>
    <t>International</t>
  </si>
  <si>
    <t>Contractual</t>
  </si>
  <si>
    <t>Name</t>
  </si>
  <si>
    <t>Other Current Expenses (OCE)</t>
  </si>
  <si>
    <t>type</t>
  </si>
  <si>
    <t>Fill in the benefit line items</t>
  </si>
  <si>
    <t>Retirement</t>
  </si>
  <si>
    <t>Housing</t>
  </si>
  <si>
    <t>Health Insurance</t>
  </si>
  <si>
    <t>Group Life Insurance</t>
  </si>
  <si>
    <t>Total</t>
  </si>
  <si>
    <t>1. Performance items</t>
    <phoneticPr fontId="2" type="noConversion"/>
  </si>
  <si>
    <t>4. Budget Items</t>
    <phoneticPr fontId="2" type="noConversion"/>
  </si>
  <si>
    <t>5. Summary</t>
    <phoneticPr fontId="2" type="noConversion"/>
  </si>
  <si>
    <t xml:space="preserve"> </t>
    <phoneticPr fontId="2" type="noConversion"/>
  </si>
  <si>
    <t>Name</t>
    <phoneticPr fontId="2" type="noConversion"/>
  </si>
  <si>
    <t xml:space="preserve"> Output </t>
  </si>
  <si>
    <t>Objective</t>
  </si>
  <si>
    <t xml:space="preserve">Output </t>
  </si>
  <si>
    <t xml:space="preserve"> Strategic Goal</t>
  </si>
  <si>
    <t xml:space="preserve">Objective </t>
  </si>
  <si>
    <t>AdjustedSalary</t>
  </si>
  <si>
    <t>Sal + Benefits</t>
  </si>
  <si>
    <t>Position</t>
  </si>
  <si>
    <t xml:space="preserve">   Pay Level</t>
  </si>
  <si>
    <t>Salary</t>
  </si>
  <si>
    <t>Pay Level</t>
  </si>
  <si>
    <t>Last Step</t>
  </si>
  <si>
    <t>Next Step</t>
  </si>
  <si>
    <t>Current</t>
  </si>
  <si>
    <t>New</t>
  </si>
  <si>
    <t>Performance Items</t>
  </si>
  <si>
    <t>SS Tax</t>
  </si>
  <si>
    <t>TA amount</t>
  </si>
  <si>
    <t>SUMMARY OF ACTIVITY COSTS</t>
  </si>
  <si>
    <t>ACTIVITIES</t>
  </si>
  <si>
    <t>Amount</t>
  </si>
  <si>
    <t>Check summary for your total budget amounts</t>
  </si>
  <si>
    <t>NextSalary</t>
  </si>
  <si>
    <t>Effective Date of Step Increment</t>
  </si>
  <si>
    <t>Current Salary</t>
  </si>
  <si>
    <t>2. Pay Level</t>
  </si>
  <si>
    <t>Adjust your personnel salaries according to expected step increments or increases</t>
  </si>
  <si>
    <t>PP_CurrentSal</t>
  </si>
  <si>
    <t>PP-NextSal</t>
  </si>
  <si>
    <t>Directions</t>
  </si>
  <si>
    <t>Person</t>
  </si>
  <si>
    <t>% Time</t>
  </si>
  <si>
    <t>Cost</t>
  </si>
  <si>
    <t>TOTAL</t>
  </si>
  <si>
    <t>UNIT</t>
  </si>
  <si>
    <t>PERSONNEL</t>
  </si>
  <si>
    <t>TRAVEL</t>
  </si>
  <si>
    <t>CONTRACTUAL</t>
  </si>
  <si>
    <t>OCE</t>
  </si>
  <si>
    <t>Fixed Assets</t>
  </si>
  <si>
    <t>Retirement= Annual Salary*3%</t>
  </si>
  <si>
    <t>3. Fringe Benefits</t>
  </si>
  <si>
    <t>Formulas</t>
  </si>
  <si>
    <t xml:space="preserve">Strategy/Activity </t>
  </si>
  <si>
    <t>Strategy/Activity</t>
  </si>
  <si>
    <t>Base + Step Incr</t>
  </si>
  <si>
    <t>Health Insurance: Employer Contribution 52%</t>
  </si>
  <si>
    <t>FIXED ASSETS</t>
  </si>
  <si>
    <t>COST</t>
  </si>
  <si>
    <t>Communications</t>
    <phoneticPr fontId="2" type="noConversion"/>
  </si>
  <si>
    <t>Printing</t>
    <phoneticPr fontId="2" type="noConversion"/>
  </si>
  <si>
    <t>Supplies</t>
    <phoneticPr fontId="2" type="noConversion"/>
  </si>
  <si>
    <t>Graduation Costs</t>
    <phoneticPr fontId="2" type="noConversion"/>
  </si>
  <si>
    <t>Unit's Mission Statement</t>
    <phoneticPr fontId="2" type="noConversion"/>
  </si>
  <si>
    <t xml:space="preserve">Fill in your office or division performance items.  </t>
  </si>
  <si>
    <t>Fill in your Budget Items</t>
  </si>
  <si>
    <t>Personnel</t>
  </si>
  <si>
    <t>Amount</t>
    <phoneticPr fontId="2" type="noConversion"/>
  </si>
  <si>
    <t xml:space="preserve"> </t>
    <phoneticPr fontId="2" type="noConversion"/>
  </si>
  <si>
    <t>Overtime</t>
    <phoneticPr fontId="2" type="noConversion"/>
  </si>
  <si>
    <t>Staff Travel</t>
    <phoneticPr fontId="2" type="noConversion"/>
  </si>
  <si>
    <t>College of Micronesia-FSM</t>
  </si>
  <si>
    <t>Line Items</t>
  </si>
  <si>
    <t>Budget Category</t>
  </si>
  <si>
    <t>SS</t>
  </si>
  <si>
    <t>FSM Health/Ins</t>
  </si>
  <si>
    <t>Group Life</t>
  </si>
  <si>
    <t>Group life= annual salary *2 round up to the next 1000 *.00038</t>
  </si>
  <si>
    <t>Summary of Strategies with Corresponding Budget</t>
  </si>
  <si>
    <t>BUSINESS OFFICE</t>
  </si>
  <si>
    <t>To be able to provide the necessary services for the students (registration, refund, workstudy payroll)</t>
  </si>
  <si>
    <t>Develop a systematic working schedule to accommodate the special needs of students</t>
  </si>
  <si>
    <t>Effectiveness and Efficiency of Operations</t>
  </si>
  <si>
    <t>To provide and maintain the budget certification and reporting processing</t>
  </si>
  <si>
    <t>Fair presentation of Financial Statements</t>
  </si>
  <si>
    <t>Ensure accurate and timely preparation of Financial Statements</t>
  </si>
  <si>
    <t xml:space="preserve">Provide institutional support to foster student success and satisfaction
1.  Improved tracking and reporting of student accounts                                                                                              2. Timely processing and payment of student related accounts (refund, work-study payroll, and other auxilliary services)                                                                                                                                                 3. Fair presentation of Financial Statements                                                                                             </t>
  </si>
  <si>
    <t>Office/Division Name</t>
    <phoneticPr fontId="2" type="noConversion"/>
  </si>
  <si>
    <t>C</t>
  </si>
  <si>
    <t>B</t>
  </si>
  <si>
    <t>D</t>
  </si>
  <si>
    <t>A</t>
  </si>
  <si>
    <t>Increase</t>
  </si>
  <si>
    <t xml:space="preserve">Activity </t>
  </si>
  <si>
    <t>Contracts</t>
  </si>
  <si>
    <t>Audit/Legal/Professional Fees</t>
  </si>
  <si>
    <t>Insurance</t>
  </si>
  <si>
    <t>Machineries and equip.</t>
  </si>
  <si>
    <t>Food S. Mgr.</t>
  </si>
  <si>
    <t>M</t>
  </si>
  <si>
    <t>Asst Sup.</t>
  </si>
  <si>
    <t>A.Alexander</t>
  </si>
  <si>
    <t>On contract</t>
  </si>
  <si>
    <t>M.Baker</t>
  </si>
  <si>
    <t>Cook 1</t>
  </si>
  <si>
    <t>V.Rosario</t>
  </si>
  <si>
    <t>P. Primo</t>
  </si>
  <si>
    <t>M.Samuel</t>
  </si>
  <si>
    <t>J.Kapriel</t>
  </si>
  <si>
    <t>N.Meninzor</t>
  </si>
  <si>
    <t xml:space="preserve"> various</t>
  </si>
  <si>
    <t>Dining Hall is committed to serve nutritious meals to students, faculty and staffs everyday and on-time.</t>
  </si>
  <si>
    <t xml:space="preserve">Provide institutional support to foster student success and satisfaction
                                                                               </t>
  </si>
  <si>
    <t>To be able to serve three nutritious meals on time.</t>
  </si>
  <si>
    <t>To cook three nutritious meals (breakfast, lunch, dinner) everyday.</t>
  </si>
  <si>
    <t>Three meals are served daily to students and other patrons.</t>
  </si>
  <si>
    <t>Above average customer service</t>
  </si>
  <si>
    <t>To provide good customer service at all times.</t>
  </si>
  <si>
    <t>1.1.1</t>
  </si>
  <si>
    <t>2.1.1</t>
  </si>
  <si>
    <t>Patron are provided with good customer service</t>
  </si>
  <si>
    <t>Break-even financial operations.</t>
  </si>
  <si>
    <t>To determine and monitor the revenue and expenditures of dining hall.</t>
  </si>
  <si>
    <t>3.1.1</t>
  </si>
  <si>
    <t>Dining Hall revenue is sufficient to fund its operating expenditures.</t>
  </si>
  <si>
    <t>Fuel</t>
  </si>
  <si>
    <t>College of Micronesia - FSM</t>
  </si>
  <si>
    <t>421 Dining Hall</t>
  </si>
  <si>
    <t>Projected Statement of Revenues and Expenditures</t>
  </si>
  <si>
    <t>Service charge revenue:</t>
  </si>
  <si>
    <t>Sales</t>
  </si>
  <si>
    <t>Less: Cost of Goods Sold</t>
  </si>
  <si>
    <t xml:space="preserve">      Gross Profit</t>
  </si>
  <si>
    <t>Operating expenses:</t>
  </si>
  <si>
    <t>Salaries</t>
  </si>
  <si>
    <t>Social Security</t>
  </si>
  <si>
    <t>Other Current Expenditures</t>
  </si>
  <si>
    <t>Supplies</t>
  </si>
  <si>
    <t>Computer</t>
  </si>
  <si>
    <t>Machinery and equipment</t>
  </si>
  <si>
    <t>Net service charge</t>
  </si>
  <si>
    <t># of Customers</t>
  </si>
  <si>
    <t>School Week</t>
  </si>
  <si>
    <t>Days</t>
  </si>
  <si>
    <t>Meal Rate</t>
  </si>
  <si>
    <t>Revenue</t>
  </si>
  <si>
    <t>Residence Hall and Non Residence Hall students</t>
  </si>
  <si>
    <t>Fall</t>
  </si>
  <si>
    <t>Residence Hall students</t>
  </si>
  <si>
    <t>Non Residence Hall students</t>
  </si>
  <si>
    <t>Spring</t>
  </si>
  <si>
    <t>Summer</t>
  </si>
  <si>
    <t>Residence Halls students</t>
  </si>
  <si>
    <t>Non Residence Halls students</t>
  </si>
  <si>
    <t>Sales for RH and non RH students</t>
  </si>
  <si>
    <t>Other Patrons</t>
  </si>
  <si>
    <t>Staff/faculty</t>
  </si>
  <si>
    <t>Others</t>
  </si>
  <si>
    <t>Non COM-FSM</t>
  </si>
  <si>
    <t>Take-outs for COM-FSM</t>
  </si>
  <si>
    <t>Take-outs for Non COM-FSM</t>
  </si>
  <si>
    <t>Sales for other patrons</t>
  </si>
  <si>
    <t>Total sales</t>
  </si>
  <si>
    <t>Assumptions:</t>
  </si>
  <si>
    <t>Revenue:</t>
  </si>
  <si>
    <t>Meal Rates</t>
  </si>
  <si>
    <t>Rates</t>
  </si>
  <si>
    <t>COM-FSM</t>
  </si>
  <si>
    <t>Breakfast</t>
  </si>
  <si>
    <t>Lunch</t>
  </si>
  <si>
    <t>Dinner</t>
  </si>
  <si>
    <t>Numbers of School Week</t>
  </si>
  <si>
    <t>Occupancy rate of 80% for regular semester and 50% for summer.</t>
  </si>
  <si>
    <t>Cost of sales:</t>
  </si>
  <si>
    <t>Justification:  The amount requested is to cover the cost of meat, rice, chicken,</t>
  </si>
  <si>
    <t>fish, vegetables, fruits, poultry products, noodles, flour, local produce</t>
  </si>
  <si>
    <t>and other food products.</t>
  </si>
  <si>
    <t>Calculation:  Based on the following:</t>
  </si>
  <si>
    <t>menu:</t>
  </si>
  <si>
    <t xml:space="preserve">Beef </t>
  </si>
  <si>
    <t>2-3 times a week</t>
  </si>
  <si>
    <t>Chicken</t>
  </si>
  <si>
    <t>Pork</t>
  </si>
  <si>
    <t>2-4 times a week</t>
  </si>
  <si>
    <t>Fish</t>
  </si>
  <si>
    <t>Turkey parts - once a week</t>
  </si>
  <si>
    <t>Estimated cost of food items per week</t>
  </si>
  <si>
    <t>Number of weeks</t>
  </si>
  <si>
    <t>Cook 2</t>
  </si>
  <si>
    <t>Staff Development</t>
  </si>
  <si>
    <t>Equipment</t>
  </si>
  <si>
    <t>Dining Hall</t>
  </si>
  <si>
    <t>SS tax= 7.5% (not to exceed $2,400 annual)</t>
  </si>
  <si>
    <t>L Rull</t>
  </si>
  <si>
    <t>Lorenzo Rull</t>
  </si>
  <si>
    <t>L</t>
  </si>
  <si>
    <t>Terina Tim</t>
  </si>
  <si>
    <t xml:space="preserve"> various (OT &amp; Farm special contract)</t>
  </si>
  <si>
    <t>Expenditure Budget-FY 2022</t>
  </si>
  <si>
    <t>FY 2023</t>
  </si>
  <si>
    <t>Immy Kapiriel</t>
  </si>
  <si>
    <t>Freelyn Albert</t>
  </si>
  <si>
    <t>Loriano Kiliopas</t>
  </si>
  <si>
    <t>Berlino Panuelo</t>
  </si>
  <si>
    <t>FY 2024</t>
  </si>
  <si>
    <t>Vacant(Rocky)</t>
  </si>
  <si>
    <t>Vacant(Mary)</t>
  </si>
  <si>
    <t>Vacant(SC-Melrose)</t>
  </si>
  <si>
    <t>Cook 1-SC</t>
  </si>
  <si>
    <t>Gas</t>
  </si>
  <si>
    <t>FY 2024 Operating Revenue Assumptions:</t>
  </si>
  <si>
    <t>The average amount of purchase per week is $12,500 based on the following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</si>
</sst>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"/>
    <numFmt numFmtId="167" formatCode="&quot;$&quot;#,##0"/>
    <numFmt numFmtId="168" formatCode="_(* #,##0_);_(* \(#,##0\);_(* &quot;-&quot;??_);_(@_)"/>
    <numFmt numFmtId="169" formatCode="m/d/yyyy;@"/>
  </numFmts>
  <fonts count="28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1"/>
      <color indexed="8"/>
      <name val="Calibri"/>
      <family val="2"/>
    </font>
    <font>
      <sz val="9"/>
      <name val="Helvetica Neue"/>
    </font>
    <font>
      <b/>
      <sz val="11"/>
      <color indexed="8"/>
      <name val="Helvetica Neue"/>
    </font>
    <font>
      <sz val="11"/>
      <color indexed="8"/>
      <name val="Helvetica Neue"/>
    </font>
    <font>
      <b/>
      <sz val="12"/>
      <color indexed="8"/>
      <name val="Helvetica Neue"/>
    </font>
    <font>
      <sz val="16"/>
      <color indexed="8"/>
      <name val="Helvetica Neue"/>
    </font>
    <font>
      <b/>
      <sz val="16"/>
      <color indexed="8"/>
      <name val="Helvetica Neue"/>
    </font>
    <font>
      <sz val="12"/>
      <color indexed="8"/>
      <name val="Helvetica Neue"/>
    </font>
    <font>
      <b/>
      <sz val="10"/>
      <name val="Helvetica Neue"/>
    </font>
    <font>
      <sz val="10"/>
      <name val="Helvetica Neue"/>
    </font>
    <font>
      <sz val="11"/>
      <name val="Helvetica Neue"/>
    </font>
    <font>
      <b/>
      <sz val="11"/>
      <name val="Helvetica Neue"/>
    </font>
    <font>
      <b/>
      <sz val="9"/>
      <name val="Helvetica Neue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indexed="8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239">
    <xf numFmtId="0" fontId="0" fillId="0" borderId="0" xfId="0"/>
    <xf numFmtId="9" fontId="0" fillId="0" borderId="0" xfId="3" applyFont="1"/>
    <xf numFmtId="0" fontId="4" fillId="0" borderId="0" xfId="0" applyFont="1"/>
    <xf numFmtId="44" fontId="4" fillId="0" borderId="0" xfId="2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3" fillId="0" borderId="0" xfId="0" applyFont="1"/>
    <xf numFmtId="0" fontId="6" fillId="0" borderId="2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Border="1"/>
    <xf numFmtId="0" fontId="11" fillId="2" borderId="0" xfId="0" applyFont="1" applyFill="1"/>
    <xf numFmtId="0" fontId="11" fillId="2" borderId="3" xfId="0" applyFont="1" applyFill="1" applyBorder="1" applyAlignment="1">
      <alignment horizontal="left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11" fillId="2" borderId="5" xfId="0" applyFont="1" applyFill="1" applyBorder="1" applyAlignment="1">
      <alignment horizontal="center"/>
    </xf>
    <xf numFmtId="164" fontId="11" fillId="2" borderId="6" xfId="2" applyNumberFormat="1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44" fontId="6" fillId="0" borderId="7" xfId="2" applyFont="1" applyBorder="1"/>
    <xf numFmtId="0" fontId="12" fillId="4" borderId="8" xfId="0" applyFont="1" applyFill="1" applyBorder="1"/>
    <xf numFmtId="0" fontId="6" fillId="0" borderId="8" xfId="0" applyFont="1" applyBorder="1"/>
    <xf numFmtId="0" fontId="5" fillId="0" borderId="9" xfId="0" applyFont="1" applyBorder="1"/>
    <xf numFmtId="43" fontId="6" fillId="0" borderId="11" xfId="1" applyFont="1" applyBorder="1"/>
    <xf numFmtId="43" fontId="6" fillId="0" borderId="0" xfId="0" applyNumberFormat="1" applyFont="1"/>
    <xf numFmtId="0" fontId="5" fillId="0" borderId="0" xfId="0" applyFont="1" applyBorder="1"/>
    <xf numFmtId="1" fontId="6" fillId="0" borderId="0" xfId="0" applyNumberFormat="1" applyFont="1" applyBorder="1"/>
    <xf numFmtId="164" fontId="6" fillId="0" borderId="0" xfId="0" applyNumberFormat="1" applyFont="1" applyBorder="1"/>
    <xf numFmtId="0" fontId="6" fillId="2" borderId="0" xfId="0" applyFont="1" applyFill="1"/>
    <xf numFmtId="44" fontId="6" fillId="0" borderId="0" xfId="0" applyNumberFormat="1" applyFont="1"/>
    <xf numFmtId="44" fontId="6" fillId="0" borderId="9" xfId="0" applyNumberFormat="1" applyFont="1" applyBorder="1"/>
    <xf numFmtId="0" fontId="6" fillId="0" borderId="9" xfId="0" applyFont="1" applyBorder="1"/>
    <xf numFmtId="0" fontId="6" fillId="0" borderId="11" xfId="0" applyFont="1" applyBorder="1"/>
    <xf numFmtId="0" fontId="6" fillId="4" borderId="10" xfId="0" applyFont="1" applyFill="1" applyBorder="1"/>
    <xf numFmtId="164" fontId="6" fillId="0" borderId="9" xfId="0" applyNumberFormat="1" applyFont="1" applyBorder="1"/>
    <xf numFmtId="9" fontId="7" fillId="0" borderId="0" xfId="3" applyFont="1"/>
    <xf numFmtId="9" fontId="5" fillId="0" borderId="0" xfId="3" applyFont="1"/>
    <xf numFmtId="9" fontId="6" fillId="0" borderId="0" xfId="3" applyFont="1"/>
    <xf numFmtId="0" fontId="6" fillId="2" borderId="12" xfId="0" applyFont="1" applyFill="1" applyBorder="1"/>
    <xf numFmtId="0" fontId="7" fillId="0" borderId="0" xfId="0" applyFont="1"/>
    <xf numFmtId="43" fontId="6" fillId="0" borderId="0" xfId="1" applyFont="1"/>
    <xf numFmtId="43" fontId="6" fillId="0" borderId="0" xfId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" xfId="0" applyFont="1" applyFill="1" applyBorder="1"/>
    <xf numFmtId="0" fontId="13" fillId="0" borderId="0" xfId="0" applyFont="1"/>
    <xf numFmtId="44" fontId="13" fillId="0" borderId="0" xfId="2" applyFont="1"/>
    <xf numFmtId="0" fontId="13" fillId="4" borderId="8" xfId="0" applyFont="1" applyFill="1" applyBorder="1"/>
    <xf numFmtId="0" fontId="5" fillId="0" borderId="13" xfId="0" applyFont="1" applyBorder="1"/>
    <xf numFmtId="43" fontId="6" fillId="0" borderId="14" xfId="0" applyNumberFormat="1" applyFont="1" applyBorder="1"/>
    <xf numFmtId="0" fontId="6" fillId="4" borderId="15" xfId="0" applyFont="1" applyFill="1" applyBorder="1"/>
    <xf numFmtId="0" fontId="6" fillId="0" borderId="15" xfId="0" applyFont="1" applyBorder="1"/>
    <xf numFmtId="43" fontId="6" fillId="0" borderId="14" xfId="1" applyFont="1" applyBorder="1"/>
    <xf numFmtId="0" fontId="6" fillId="0" borderId="14" xfId="0" applyFont="1" applyBorder="1"/>
    <xf numFmtId="44" fontId="6" fillId="0" borderId="13" xfId="0" applyNumberFormat="1" applyFont="1" applyBorder="1"/>
    <xf numFmtId="44" fontId="5" fillId="0" borderId="13" xfId="0" applyNumberFormat="1" applyFont="1" applyBorder="1"/>
    <xf numFmtId="0" fontId="5" fillId="4" borderId="15" xfId="0" applyFont="1" applyFill="1" applyBorder="1"/>
    <xf numFmtId="43" fontId="5" fillId="0" borderId="14" xfId="1" applyFont="1" applyBorder="1"/>
    <xf numFmtId="43" fontId="5" fillId="4" borderId="15" xfId="1" applyFont="1" applyFill="1" applyBorder="1"/>
    <xf numFmtId="43" fontId="6" fillId="0" borderId="1" xfId="1" applyFont="1" applyBorder="1"/>
    <xf numFmtId="43" fontId="11" fillId="2" borderId="6" xfId="1" applyFont="1" applyFill="1" applyBorder="1" applyAlignment="1">
      <alignment horizontal="center"/>
    </xf>
    <xf numFmtId="43" fontId="12" fillId="0" borderId="16" xfId="1" applyFont="1" applyBorder="1"/>
    <xf numFmtId="43" fontId="6" fillId="0" borderId="0" xfId="1" applyFont="1" applyBorder="1"/>
    <xf numFmtId="43" fontId="13" fillId="0" borderId="16" xfId="1" applyFont="1" applyBorder="1"/>
    <xf numFmtId="43" fontId="6" fillId="0" borderId="1" xfId="1" applyFont="1" applyFill="1" applyBorder="1"/>
    <xf numFmtId="43" fontId="11" fillId="2" borderId="5" xfId="1" applyFont="1" applyFill="1" applyBorder="1" applyAlignment="1">
      <alignment horizontal="center"/>
    </xf>
    <xf numFmtId="43" fontId="6" fillId="0" borderId="9" xfId="1" applyFont="1" applyBorder="1"/>
    <xf numFmtId="164" fontId="11" fillId="3" borderId="12" xfId="2" applyNumberFormat="1" applyFont="1" applyFill="1" applyBorder="1" applyAlignment="1">
      <alignment horizontal="center"/>
    </xf>
    <xf numFmtId="43" fontId="6" fillId="0" borderId="13" xfId="1" applyFont="1" applyBorder="1"/>
    <xf numFmtId="9" fontId="6" fillId="0" borderId="0" xfId="3" applyFont="1" applyBorder="1"/>
    <xf numFmtId="0" fontId="0" fillId="0" borderId="0" xfId="0" applyBorder="1"/>
    <xf numFmtId="44" fontId="4" fillId="0" borderId="0" xfId="2" applyFont="1" applyBorder="1"/>
    <xf numFmtId="0" fontId="4" fillId="2" borderId="5" xfId="0" applyFont="1" applyFill="1" applyBorder="1"/>
    <xf numFmtId="44" fontId="15" fillId="2" borderId="12" xfId="2" applyFont="1" applyFill="1" applyBorder="1" applyAlignment="1">
      <alignment horizontal="center"/>
    </xf>
    <xf numFmtId="44" fontId="15" fillId="2" borderId="6" xfId="2" applyFont="1" applyFill="1" applyBorder="1" applyAlignment="1">
      <alignment horizontal="center"/>
    </xf>
    <xf numFmtId="0" fontId="15" fillId="2" borderId="17" xfId="0" applyFont="1" applyFill="1" applyBorder="1"/>
    <xf numFmtId="44" fontId="15" fillId="2" borderId="1" xfId="2" applyFont="1" applyFill="1" applyBorder="1" applyAlignment="1">
      <alignment horizontal="center"/>
    </xf>
    <xf numFmtId="44" fontId="15" fillId="2" borderId="18" xfId="2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5" fontId="4" fillId="0" borderId="2" xfId="2" applyNumberFormat="1" applyFont="1" applyBorder="1"/>
    <xf numFmtId="0" fontId="15" fillId="0" borderId="2" xfId="0" applyFont="1" applyBorder="1"/>
    <xf numFmtId="44" fontId="6" fillId="0" borderId="0" xfId="2" applyFont="1"/>
    <xf numFmtId="0" fontId="5" fillId="2" borderId="0" xfId="0" applyFont="1" applyFill="1" applyAlignment="1"/>
    <xf numFmtId="44" fontId="13" fillId="0" borderId="0" xfId="2" applyFont="1" applyAlignment="1">
      <alignment horizontal="right"/>
    </xf>
    <xf numFmtId="43" fontId="13" fillId="0" borderId="0" xfId="1" applyFont="1" applyAlignment="1">
      <alignment horizontal="right"/>
    </xf>
    <xf numFmtId="0" fontId="5" fillId="5" borderId="19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left"/>
    </xf>
    <xf numFmtId="0" fontId="7" fillId="0" borderId="0" xfId="0" applyFont="1" applyFill="1" applyBorder="1"/>
    <xf numFmtId="167" fontId="4" fillId="0" borderId="2" xfId="2" applyNumberFormat="1" applyFont="1" applyBorder="1"/>
    <xf numFmtId="167" fontId="15" fillId="0" borderId="2" xfId="2" applyNumberFormat="1" applyFont="1" applyBorder="1"/>
    <xf numFmtId="44" fontId="0" fillId="0" borderId="0" xfId="0" applyNumberFormat="1"/>
    <xf numFmtId="164" fontId="0" fillId="0" borderId="0" xfId="0" applyNumberFormat="1"/>
    <xf numFmtId="0" fontId="6" fillId="0" borderId="19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43" fontId="0" fillId="0" borderId="0" xfId="1" applyFont="1"/>
    <xf numFmtId="43" fontId="0" fillId="0" borderId="2" xfId="1" applyFont="1" applyBorder="1"/>
    <xf numFmtId="0" fontId="6" fillId="0" borderId="19" xfId="0" applyFont="1" applyBorder="1" applyAlignment="1">
      <alignment vertical="top" wrapText="1"/>
    </xf>
    <xf numFmtId="43" fontId="0" fillId="0" borderId="0" xfId="0" applyNumberFormat="1"/>
    <xf numFmtId="0" fontId="16" fillId="0" borderId="0" xfId="0" applyFont="1" applyBorder="1" applyAlignment="1">
      <alignment horizontal="center"/>
    </xf>
    <xf numFmtId="168" fontId="16" fillId="0" borderId="0" xfId="1" applyNumberFormat="1" applyFont="1" applyBorder="1"/>
    <xf numFmtId="0" fontId="17" fillId="0" borderId="0" xfId="0" applyFont="1"/>
    <xf numFmtId="44" fontId="18" fillId="0" borderId="0" xfId="0" applyNumberFormat="1" applyFont="1"/>
    <xf numFmtId="0" fontId="18" fillId="0" borderId="0" xfId="0" applyFont="1"/>
    <xf numFmtId="0" fontId="16" fillId="0" borderId="0" xfId="0" applyFont="1" applyBorder="1"/>
    <xf numFmtId="0" fontId="16" fillId="0" borderId="0" xfId="0" applyFont="1" applyFill="1" applyBorder="1" applyAlignment="1">
      <alignment horizontal="center"/>
    </xf>
    <xf numFmtId="43" fontId="6" fillId="0" borderId="0" xfId="2" applyNumberFormat="1" applyFont="1"/>
    <xf numFmtId="164" fontId="5" fillId="0" borderId="13" xfId="0" applyNumberFormat="1" applyFont="1" applyBorder="1"/>
    <xf numFmtId="168" fontId="6" fillId="0" borderId="0" xfId="1" applyNumberFormat="1" applyFont="1" applyBorder="1"/>
    <xf numFmtId="0" fontId="20" fillId="9" borderId="0" xfId="5"/>
    <xf numFmtId="0" fontId="19" fillId="8" borderId="0" xfId="4"/>
    <xf numFmtId="168" fontId="13" fillId="0" borderId="0" xfId="1" applyNumberFormat="1" applyFont="1" applyBorder="1"/>
    <xf numFmtId="168" fontId="13" fillId="6" borderId="0" xfId="1" applyNumberFormat="1" applyFont="1" applyFill="1" applyBorder="1" applyAlignment="1">
      <alignment horizontal="right"/>
    </xf>
    <xf numFmtId="0" fontId="3" fillId="0" borderId="0" xfId="0" applyFont="1" applyBorder="1"/>
    <xf numFmtId="0" fontId="6" fillId="0" borderId="29" xfId="0" applyFont="1" applyBorder="1" applyAlignment="1">
      <alignment horizontal="left" wrapText="1"/>
    </xf>
    <xf numFmtId="0" fontId="6" fillId="0" borderId="30" xfId="0" applyFont="1" applyBorder="1" applyAlignment="1">
      <alignment vertical="center"/>
    </xf>
    <xf numFmtId="0" fontId="0" fillId="0" borderId="31" xfId="0" applyBorder="1" applyAlignment="1">
      <alignment wrapText="1"/>
    </xf>
    <xf numFmtId="0" fontId="10" fillId="5" borderId="3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49" fontId="6" fillId="0" borderId="29" xfId="0" applyNumberFormat="1" applyFont="1" applyBorder="1" applyAlignment="1">
      <alignment horizontal="left" wrapText="1"/>
    </xf>
    <xf numFmtId="0" fontId="6" fillId="0" borderId="32" xfId="0" applyFont="1" applyBorder="1" applyAlignment="1">
      <alignment horizontal="left" indent="6"/>
    </xf>
    <xf numFmtId="0" fontId="6" fillId="5" borderId="32" xfId="0" applyFont="1" applyFill="1" applyBorder="1" applyAlignment="1">
      <alignment horizontal="center" vertical="center"/>
    </xf>
    <xf numFmtId="49" fontId="6" fillId="0" borderId="29" xfId="0" applyNumberFormat="1" applyFont="1" applyBorder="1" applyAlignment="1">
      <alignment wrapText="1"/>
    </xf>
    <xf numFmtId="0" fontId="6" fillId="0" borderId="32" xfId="0" applyFont="1" applyBorder="1" applyAlignment="1">
      <alignment horizontal="left"/>
    </xf>
    <xf numFmtId="0" fontId="6" fillId="5" borderId="32" xfId="0" applyFont="1" applyFill="1" applyBorder="1" applyAlignment="1">
      <alignment horizontal="center"/>
    </xf>
    <xf numFmtId="0" fontId="6" fillId="0" borderId="34" xfId="0" applyFont="1" applyBorder="1" applyAlignment="1">
      <alignment horizontal="left" indent="6"/>
    </xf>
    <xf numFmtId="0" fontId="6" fillId="0" borderId="35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3" fontId="11" fillId="2" borderId="16" xfId="1" applyFont="1" applyFill="1" applyBorder="1" applyAlignment="1">
      <alignment horizontal="center"/>
    </xf>
    <xf numFmtId="164" fontId="11" fillId="2" borderId="16" xfId="2" applyNumberFormat="1" applyFont="1" applyFill="1" applyBorder="1" applyAlignment="1">
      <alignment horizontal="center"/>
    </xf>
    <xf numFmtId="0" fontId="11" fillId="2" borderId="19" xfId="0" applyFont="1" applyFill="1" applyBorder="1" applyAlignment="1"/>
    <xf numFmtId="0" fontId="11" fillId="2" borderId="22" xfId="0" applyFont="1" applyFill="1" applyBorder="1" applyAlignment="1"/>
    <xf numFmtId="43" fontId="4" fillId="0" borderId="2" xfId="2" applyNumberFormat="1" applyFont="1" applyBorder="1"/>
    <xf numFmtId="3" fontId="4" fillId="0" borderId="2" xfId="1" applyNumberFormat="1" applyFont="1" applyBorder="1"/>
    <xf numFmtId="3" fontId="15" fillId="0" borderId="2" xfId="1" applyNumberFormat="1" applyFont="1" applyBorder="1"/>
    <xf numFmtId="0" fontId="21" fillId="0" borderId="0" xfId="0" applyFont="1"/>
    <xf numFmtId="37" fontId="0" fillId="0" borderId="0" xfId="0" applyNumberFormat="1"/>
    <xf numFmtId="43" fontId="13" fillId="0" borderId="0" xfId="2" applyNumberFormat="1" applyFont="1"/>
    <xf numFmtId="44" fontId="6" fillId="0" borderId="13" xfId="2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left"/>
    </xf>
    <xf numFmtId="15" fontId="22" fillId="0" borderId="0" xfId="0" applyNumberFormat="1" applyFont="1" applyBorder="1"/>
    <xf numFmtId="43" fontId="16" fillId="0" borderId="1" xfId="1" applyFont="1" applyBorder="1" applyAlignment="1">
      <alignment horizontal="right"/>
    </xf>
    <xf numFmtId="169" fontId="23" fillId="0" borderId="0" xfId="0" applyNumberFormat="1" applyFont="1" applyBorder="1" applyAlignment="1">
      <alignment horizontal="left"/>
    </xf>
    <xf numFmtId="169" fontId="23" fillId="0" borderId="0" xfId="0" applyNumberFormat="1" applyFont="1" applyAlignment="1">
      <alignment horizontal="left"/>
    </xf>
    <xf numFmtId="44" fontId="6" fillId="0" borderId="0" xfId="2" applyFont="1" applyBorder="1"/>
    <xf numFmtId="0" fontId="16" fillId="0" borderId="0" xfId="6"/>
    <xf numFmtId="0" fontId="24" fillId="0" borderId="0" xfId="6" applyFont="1" applyAlignment="1">
      <alignment horizontal="center"/>
    </xf>
    <xf numFmtId="0" fontId="24" fillId="0" borderId="0" xfId="6" applyFont="1" applyAlignment="1">
      <alignment horizontal="center" vertical="center" wrapText="1"/>
    </xf>
    <xf numFmtId="0" fontId="24" fillId="0" borderId="0" xfId="6" applyFont="1"/>
    <xf numFmtId="0" fontId="16" fillId="0" borderId="0" xfId="6" applyFont="1" applyBorder="1"/>
    <xf numFmtId="0" fontId="24" fillId="0" borderId="0" xfId="6" applyFont="1" applyBorder="1" applyAlignment="1">
      <alignment horizontal="left"/>
    </xf>
    <xf numFmtId="0" fontId="16" fillId="0" borderId="0" xfId="6" applyFont="1" applyBorder="1" applyAlignment="1">
      <alignment horizontal="left"/>
    </xf>
    <xf numFmtId="168" fontId="16" fillId="0" borderId="0" xfId="7" applyNumberFormat="1" applyFont="1" applyBorder="1" applyAlignment="1">
      <alignment horizontal="right"/>
    </xf>
    <xf numFmtId="168" fontId="16" fillId="0" borderId="1" xfId="7" applyNumberFormat="1" applyFont="1" applyBorder="1" applyAlignment="1">
      <alignment horizontal="right"/>
    </xf>
    <xf numFmtId="168" fontId="16" fillId="0" borderId="3" xfId="7" applyNumberFormat="1" applyFont="1" applyBorder="1"/>
    <xf numFmtId="168" fontId="16" fillId="0" borderId="0" xfId="7" applyNumberFormat="1" applyFont="1" applyBorder="1"/>
    <xf numFmtId="0" fontId="16" fillId="0" borderId="0" xfId="6" applyFont="1"/>
    <xf numFmtId="168" fontId="0" fillId="0" borderId="0" xfId="7" applyNumberFormat="1" applyFont="1"/>
    <xf numFmtId="168" fontId="0" fillId="0" borderId="1" xfId="7" applyNumberFormat="1" applyFont="1" applyBorder="1"/>
    <xf numFmtId="168" fontId="16" fillId="0" borderId="1" xfId="7" applyNumberFormat="1" applyFont="1" applyBorder="1"/>
    <xf numFmtId="168" fontId="16" fillId="0" borderId="9" xfId="6" applyNumberFormat="1" applyFont="1" applyBorder="1"/>
    <xf numFmtId="0" fontId="16" fillId="0" borderId="0" xfId="6" applyBorder="1"/>
    <xf numFmtId="0" fontId="25" fillId="0" borderId="0" xfId="6" applyFont="1" applyBorder="1" applyAlignment="1">
      <alignment horizontal="center" wrapText="1"/>
    </xf>
    <xf numFmtId="0" fontId="26" fillId="0" borderId="0" xfId="6" applyFont="1" applyBorder="1" applyAlignment="1">
      <alignment horizontal="center" wrapText="1"/>
    </xf>
    <xf numFmtId="0" fontId="16" fillId="0" borderId="0" xfId="6" applyAlignment="1">
      <alignment horizontal="center"/>
    </xf>
    <xf numFmtId="168" fontId="0" fillId="0" borderId="0" xfId="7" applyNumberFormat="1" applyFont="1" applyAlignment="1">
      <alignment horizontal="center"/>
    </xf>
    <xf numFmtId="0" fontId="27" fillId="0" borderId="0" xfId="6" applyFont="1"/>
    <xf numFmtId="0" fontId="16" fillId="0" borderId="0" xfId="6" applyBorder="1" applyAlignment="1">
      <alignment horizontal="center"/>
    </xf>
    <xf numFmtId="43" fontId="0" fillId="0" borderId="0" xfId="7" applyFont="1" applyBorder="1" applyAlignment="1">
      <alignment horizontal="center"/>
    </xf>
    <xf numFmtId="168" fontId="0" fillId="0" borderId="3" xfId="7" applyNumberFormat="1" applyFont="1" applyBorder="1"/>
    <xf numFmtId="0" fontId="24" fillId="0" borderId="0" xfId="6" applyFont="1" applyBorder="1"/>
    <xf numFmtId="168" fontId="24" fillId="0" borderId="38" xfId="7" applyNumberFormat="1" applyFont="1" applyBorder="1"/>
    <xf numFmtId="168" fontId="24" fillId="0" borderId="0" xfId="7" applyNumberFormat="1" applyFont="1" applyBorder="1"/>
    <xf numFmtId="168" fontId="24" fillId="0" borderId="9" xfId="7" applyNumberFormat="1" applyFont="1" applyBorder="1"/>
    <xf numFmtId="0" fontId="25" fillId="0" borderId="0" xfId="6" applyFont="1" applyAlignment="1">
      <alignment horizontal="center" wrapText="1"/>
    </xf>
    <xf numFmtId="43" fontId="16" fillId="0" borderId="0" xfId="7" applyFont="1"/>
    <xf numFmtId="43" fontId="0" fillId="0" borderId="0" xfId="7" applyFont="1"/>
    <xf numFmtId="168" fontId="16" fillId="0" borderId="0" xfId="7" applyNumberFormat="1" applyFont="1"/>
    <xf numFmtId="168" fontId="24" fillId="0" borderId="13" xfId="6" applyNumberFormat="1" applyFont="1" applyBorder="1"/>
    <xf numFmtId="49" fontId="16" fillId="0" borderId="0" xfId="6" applyNumberFormat="1"/>
    <xf numFmtId="168" fontId="16" fillId="0" borderId="0" xfId="6" applyNumberFormat="1"/>
    <xf numFmtId="44" fontId="16" fillId="0" borderId="0" xfId="6" applyNumberFormat="1"/>
    <xf numFmtId="168" fontId="16" fillId="0" borderId="0" xfId="1" applyNumberFormat="1" applyFont="1" applyFill="1" applyBorder="1"/>
    <xf numFmtId="43" fontId="16" fillId="0" borderId="0" xfId="6" applyNumberFormat="1"/>
    <xf numFmtId="9" fontId="16" fillId="0" borderId="0" xfId="3" applyFont="1" applyBorder="1" applyAlignment="1">
      <alignment horizontal="left"/>
    </xf>
    <xf numFmtId="0" fontId="24" fillId="0" borderId="0" xfId="6" applyFont="1" applyAlignment="1">
      <alignment horizontal="center"/>
    </xf>
    <xf numFmtId="0" fontId="24" fillId="0" borderId="1" xfId="6" applyFont="1" applyBorder="1" applyAlignment="1">
      <alignment horizontal="center"/>
    </xf>
    <xf numFmtId="49" fontId="6" fillId="0" borderId="36" xfId="0" applyNumberFormat="1" applyFont="1" applyBorder="1" applyAlignment="1">
      <alignment horizontal="left" wrapText="1"/>
    </xf>
    <xf numFmtId="49" fontId="6" fillId="0" borderId="37" xfId="0" applyNumberFormat="1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49" fontId="6" fillId="0" borderId="19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left" wrapText="1"/>
    </xf>
    <xf numFmtId="49" fontId="6" fillId="0" borderId="29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 wrapText="1"/>
    </xf>
    <xf numFmtId="49" fontId="6" fillId="0" borderId="33" xfId="0" applyNumberFormat="1" applyFont="1" applyBorder="1" applyAlignment="1">
      <alignment horizontal="left" wrapText="1"/>
    </xf>
    <xf numFmtId="0" fontId="9" fillId="2" borderId="23" xfId="0" applyFont="1" applyFill="1" applyBorder="1" applyAlignment="1">
      <alignment horizontal="left" vertical="top"/>
    </xf>
    <xf numFmtId="0" fontId="9" fillId="2" borderId="24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6" fillId="0" borderId="26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9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9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20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6" fillId="0" borderId="2" xfId="0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" fontId="11" fillId="2" borderId="0" xfId="2" applyNumberFormat="1" applyFont="1" applyFill="1" applyBorder="1" applyAlignment="1">
      <alignment horizontal="center"/>
    </xf>
    <xf numFmtId="44" fontId="14" fillId="0" borderId="0" xfId="2" applyFont="1" applyBorder="1" applyAlignment="1">
      <alignment horizontal="left"/>
    </xf>
    <xf numFmtId="49" fontId="6" fillId="0" borderId="22" xfId="0" applyNumberFormat="1" applyFont="1" applyBorder="1" applyAlignment="1">
      <alignment horizontal="left" wrapText="1"/>
    </xf>
  </cellXfs>
  <cellStyles count="8">
    <cellStyle name="Comma" xfId="1" builtinId="3"/>
    <cellStyle name="Comma 2" xfId="7"/>
    <cellStyle name="Currency" xfId="2" builtinId="4"/>
    <cellStyle name="Good" xfId="4" builtinId="26"/>
    <cellStyle name="Neutral" xfId="5" builtinId="28"/>
    <cellStyle name="Normal" xfId="0" builtinId="0"/>
    <cellStyle name="Normal 2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workbookViewId="0">
      <selection activeCell="C21" sqref="C21"/>
    </sheetView>
  </sheetViews>
  <sheetFormatPr defaultRowHeight="12.75"/>
  <cols>
    <col min="1" max="1" width="4.5703125" style="164" customWidth="1"/>
    <col min="2" max="2" width="4.28515625" style="164" customWidth="1"/>
    <col min="3" max="3" width="20.7109375" style="164" customWidth="1"/>
    <col min="4" max="4" width="11.140625" style="164" customWidth="1"/>
    <col min="5" max="6" width="10.7109375" style="164" customWidth="1"/>
    <col min="7" max="7" width="11.28515625" style="164" bestFit="1" customWidth="1"/>
    <col min="8" max="8" width="2.42578125" style="164" customWidth="1"/>
    <col min="9" max="10" width="11.28515625" style="164" bestFit="1" customWidth="1"/>
    <col min="11" max="16384" width="9.140625" style="164"/>
  </cols>
  <sheetData>
    <row r="1" spans="1:9">
      <c r="A1" s="204" t="s">
        <v>140</v>
      </c>
      <c r="B1" s="204"/>
      <c r="C1" s="204"/>
      <c r="D1" s="204"/>
      <c r="E1" s="204"/>
      <c r="F1" s="204"/>
      <c r="G1" s="204"/>
    </row>
    <row r="2" spans="1:9">
      <c r="A2" s="204" t="s">
        <v>141</v>
      </c>
      <c r="B2" s="204"/>
      <c r="C2" s="204"/>
      <c r="D2" s="204"/>
      <c r="E2" s="204"/>
      <c r="F2" s="204"/>
      <c r="G2" s="204"/>
    </row>
    <row r="3" spans="1:9">
      <c r="A3" s="204" t="s">
        <v>142</v>
      </c>
      <c r="B3" s="204"/>
      <c r="C3" s="204"/>
      <c r="D3" s="204"/>
      <c r="E3" s="204"/>
      <c r="F3" s="204"/>
      <c r="G3" s="204"/>
    </row>
    <row r="5" spans="1:9">
      <c r="A5" s="165"/>
      <c r="B5" s="165"/>
      <c r="C5" s="165"/>
      <c r="D5" s="165"/>
      <c r="E5" s="166" t="s">
        <v>213</v>
      </c>
      <c r="F5" s="165"/>
      <c r="G5" s="166" t="s">
        <v>218</v>
      </c>
    </row>
    <row r="6" spans="1:9">
      <c r="A6" s="167" t="s">
        <v>143</v>
      </c>
      <c r="B6" s="167"/>
      <c r="C6" s="168"/>
      <c r="D6" s="168"/>
    </row>
    <row r="7" spans="1:9">
      <c r="A7" s="167"/>
      <c r="B7" s="169" t="s">
        <v>144</v>
      </c>
      <c r="D7" s="170"/>
      <c r="E7" s="171">
        <v>803620</v>
      </c>
      <c r="F7" s="170"/>
      <c r="G7" s="171">
        <f>+I68</f>
        <v>935100</v>
      </c>
    </row>
    <row r="8" spans="1:9">
      <c r="A8" s="167"/>
      <c r="B8" s="169" t="s">
        <v>145</v>
      </c>
      <c r="D8" s="170"/>
      <c r="E8" s="172">
        <v>520000</v>
      </c>
      <c r="F8" s="203"/>
      <c r="G8" s="172">
        <f>+G101</f>
        <v>650000</v>
      </c>
    </row>
    <row r="9" spans="1:9">
      <c r="A9" s="167"/>
      <c r="B9" s="169" t="s">
        <v>146</v>
      </c>
      <c r="D9" s="170"/>
      <c r="E9" s="173">
        <v>283620</v>
      </c>
      <c r="F9" s="170"/>
      <c r="G9" s="173">
        <f>SUM(G7-G8)</f>
        <v>285100</v>
      </c>
    </row>
    <row r="10" spans="1:9">
      <c r="A10" s="167"/>
      <c r="B10" s="167"/>
      <c r="C10" s="169"/>
      <c r="D10" s="169"/>
      <c r="E10" s="174"/>
      <c r="F10" s="169"/>
      <c r="G10" s="174"/>
    </row>
    <row r="11" spans="1:9">
      <c r="A11" s="169" t="s">
        <v>147</v>
      </c>
      <c r="B11" s="169"/>
      <c r="C11" s="175"/>
      <c r="D11" s="175"/>
      <c r="E11" s="174"/>
      <c r="F11" s="175"/>
      <c r="G11" s="174"/>
    </row>
    <row r="12" spans="1:9">
      <c r="A12" s="169"/>
      <c r="B12" s="169" t="s">
        <v>80</v>
      </c>
      <c r="C12" s="175"/>
      <c r="D12" s="175"/>
      <c r="E12" s="174"/>
      <c r="F12" s="175"/>
      <c r="G12" s="174"/>
    </row>
    <row r="13" spans="1:9" ht="15">
      <c r="A13" s="167"/>
      <c r="C13" s="170" t="s">
        <v>148</v>
      </c>
      <c r="D13" s="170"/>
      <c r="E13" s="176">
        <v>138130.84615384613</v>
      </c>
      <c r="F13" s="170"/>
      <c r="G13" s="176">
        <f>+'line item'!F6</f>
        <v>130928.38461538461</v>
      </c>
      <c r="I13" s="199">
        <f>+G13-E13</f>
        <v>-7202.4615384615172</v>
      </c>
    </row>
    <row r="14" spans="1:9" ht="15">
      <c r="A14" s="167"/>
      <c r="C14" s="170" t="s">
        <v>149</v>
      </c>
      <c r="D14" s="170"/>
      <c r="E14" s="176">
        <v>10359.813461538462</v>
      </c>
      <c r="F14" s="170"/>
      <c r="G14" s="176">
        <f>+'4.Fringe_Benefits'!B14</f>
        <v>9819.6288461538461</v>
      </c>
      <c r="I14" s="199">
        <f t="shared" ref="I14:I25" si="0">+G14-E14</f>
        <v>-540.18461538461634</v>
      </c>
    </row>
    <row r="15" spans="1:9" ht="15">
      <c r="A15" s="167"/>
      <c r="C15" s="170" t="s">
        <v>17</v>
      </c>
      <c r="D15" s="170"/>
      <c r="E15" s="176">
        <v>2136.66552</v>
      </c>
      <c r="F15" s="170"/>
      <c r="G15" s="176">
        <f>+'4.Fringe_Benefits'!F14</f>
        <v>1994.3448800000003</v>
      </c>
      <c r="I15" s="199">
        <f t="shared" si="0"/>
        <v>-142.32063999999968</v>
      </c>
    </row>
    <row r="16" spans="1:9" ht="15">
      <c r="A16" s="167"/>
      <c r="C16" s="170" t="s">
        <v>16</v>
      </c>
      <c r="D16" s="170"/>
      <c r="E16" s="176">
        <v>8428.32</v>
      </c>
      <c r="F16" s="170"/>
      <c r="G16" s="176">
        <f>+'4.Fringe_Benefits'!E14</f>
        <v>8428.32</v>
      </c>
      <c r="I16" s="199">
        <f t="shared" si="0"/>
        <v>0</v>
      </c>
    </row>
    <row r="17" spans="1:9" ht="15">
      <c r="A17" s="167"/>
      <c r="C17" s="170" t="s">
        <v>14</v>
      </c>
      <c r="D17" s="170"/>
      <c r="E17" s="176">
        <v>3243.9253846153842</v>
      </c>
      <c r="F17" s="170"/>
      <c r="G17" s="176">
        <f>+'4.Fringe_Benefits'!C14</f>
        <v>3027.8515384615375</v>
      </c>
      <c r="I17" s="199">
        <f t="shared" si="0"/>
        <v>-216.07384615384672</v>
      </c>
    </row>
    <row r="18" spans="1:9" ht="15">
      <c r="A18" s="167"/>
      <c r="C18" s="170" t="s">
        <v>15</v>
      </c>
      <c r="D18" s="170"/>
      <c r="E18" s="176">
        <v>7200</v>
      </c>
      <c r="F18" s="170"/>
      <c r="G18" s="176">
        <f>+'4.Fringe_Benefits'!D14</f>
        <v>7200</v>
      </c>
      <c r="I18" s="199">
        <f t="shared" si="0"/>
        <v>0</v>
      </c>
    </row>
    <row r="19" spans="1:9" ht="15">
      <c r="A19" s="167"/>
      <c r="B19" s="167" t="s">
        <v>150</v>
      </c>
      <c r="C19" s="170"/>
      <c r="D19" s="170"/>
      <c r="E19" s="176"/>
      <c r="F19" s="170"/>
      <c r="G19" s="176"/>
      <c r="I19" s="199">
        <f t="shared" si="0"/>
        <v>0</v>
      </c>
    </row>
    <row r="20" spans="1:9" ht="15">
      <c r="A20" s="167"/>
      <c r="C20" s="170" t="s">
        <v>151</v>
      </c>
      <c r="D20" s="170"/>
      <c r="E20" s="176">
        <v>25000</v>
      </c>
      <c r="F20" s="170"/>
      <c r="G20" s="176">
        <f>+'line item'!F19</f>
        <v>35000</v>
      </c>
      <c r="I20" s="199">
        <f t="shared" si="0"/>
        <v>10000</v>
      </c>
    </row>
    <row r="21" spans="1:9" ht="15">
      <c r="A21" s="167"/>
      <c r="C21" s="170" t="s">
        <v>223</v>
      </c>
      <c r="D21" s="170"/>
      <c r="E21" s="176">
        <v>20000</v>
      </c>
      <c r="F21" s="170"/>
      <c r="G21" s="176">
        <f>+'line item'!F20</f>
        <v>30000</v>
      </c>
      <c r="I21" s="199">
        <f t="shared" si="0"/>
        <v>10000</v>
      </c>
    </row>
    <row r="22" spans="1:9" ht="15">
      <c r="A22" s="167"/>
      <c r="C22" s="170" t="s">
        <v>203</v>
      </c>
      <c r="D22" s="170"/>
      <c r="E22" s="176">
        <v>5000</v>
      </c>
      <c r="F22" s="170"/>
      <c r="G22" s="176">
        <v>5000</v>
      </c>
      <c r="I22" s="199">
        <f t="shared" si="0"/>
        <v>0</v>
      </c>
    </row>
    <row r="23" spans="1:9" ht="15">
      <c r="A23" s="167"/>
      <c r="B23" s="167" t="s">
        <v>63</v>
      </c>
      <c r="C23" s="170"/>
      <c r="D23" s="170"/>
      <c r="E23" s="176"/>
      <c r="F23" s="170"/>
      <c r="G23" s="176"/>
      <c r="I23" s="199">
        <f t="shared" si="0"/>
        <v>0</v>
      </c>
    </row>
    <row r="24" spans="1:9" ht="15">
      <c r="A24" s="167"/>
      <c r="B24" s="167"/>
      <c r="C24" s="170" t="s">
        <v>152</v>
      </c>
      <c r="D24" s="170"/>
      <c r="E24" s="176">
        <v>0</v>
      </c>
      <c r="F24" s="170"/>
      <c r="G24" s="176">
        <v>0</v>
      </c>
      <c r="I24" s="199">
        <f t="shared" si="0"/>
        <v>0</v>
      </c>
    </row>
    <row r="25" spans="1:9" ht="15">
      <c r="A25" s="167"/>
      <c r="C25" s="170" t="s">
        <v>153</v>
      </c>
      <c r="D25" s="170"/>
      <c r="E25" s="177">
        <v>30000</v>
      </c>
      <c r="F25" s="170"/>
      <c r="G25" s="177">
        <f>+'line item'!F23</f>
        <v>30000</v>
      </c>
      <c r="I25" s="199">
        <f t="shared" si="0"/>
        <v>0</v>
      </c>
    </row>
    <row r="26" spans="1:9">
      <c r="A26" s="167"/>
      <c r="B26" s="167"/>
      <c r="C26" s="168"/>
      <c r="D26" s="168"/>
      <c r="E26" s="178">
        <v>249499.57051999998</v>
      </c>
      <c r="F26" s="168"/>
      <c r="G26" s="178">
        <f>SUM(G13:G25)</f>
        <v>261398.52987999999</v>
      </c>
      <c r="I26" s="178">
        <f>SUM(I13:I25)</f>
        <v>11898.959360000019</v>
      </c>
    </row>
    <row r="27" spans="1:9">
      <c r="A27" s="167"/>
      <c r="B27" s="167"/>
      <c r="C27" s="168"/>
      <c r="D27" s="168"/>
      <c r="E27" s="174"/>
      <c r="F27" s="168"/>
      <c r="G27" s="174"/>
    </row>
    <row r="28" spans="1:9" ht="13.5" thickBot="1">
      <c r="A28" s="167" t="s">
        <v>154</v>
      </c>
      <c r="B28" s="167"/>
      <c r="C28" s="175"/>
      <c r="D28" s="175"/>
      <c r="E28" s="179">
        <v>34120.429480000021</v>
      </c>
      <c r="F28" s="175"/>
      <c r="G28" s="179">
        <f>SUM(G9-G26)</f>
        <v>23701.470120000013</v>
      </c>
      <c r="I28" s="200">
        <f>+G26-'5.Budget_Items'!B51</f>
        <v>0</v>
      </c>
    </row>
    <row r="29" spans="1:9" ht="13.5" thickTop="1"/>
    <row r="32" spans="1:9">
      <c r="A32" s="167" t="s">
        <v>224</v>
      </c>
    </row>
    <row r="33" spans="1:10" ht="24.75">
      <c r="C33" s="180"/>
      <c r="D33" s="181" t="s">
        <v>155</v>
      </c>
      <c r="E33" s="182" t="s">
        <v>156</v>
      </c>
      <c r="F33" s="182" t="s">
        <v>157</v>
      </c>
      <c r="G33" s="183" t="s">
        <v>158</v>
      </c>
      <c r="H33" s="183"/>
      <c r="I33" s="184" t="s">
        <v>159</v>
      </c>
    </row>
    <row r="34" spans="1:10" ht="15">
      <c r="A34" s="185" t="s">
        <v>160</v>
      </c>
      <c r="C34" s="180"/>
      <c r="D34" s="181"/>
      <c r="E34" s="182"/>
      <c r="F34" s="182"/>
      <c r="I34" s="176"/>
    </row>
    <row r="35" spans="1:10" ht="15">
      <c r="A35" s="167" t="s">
        <v>161</v>
      </c>
      <c r="C35" s="180"/>
      <c r="D35" s="186"/>
      <c r="E35" s="186"/>
      <c r="F35" s="186"/>
      <c r="I35" s="176"/>
    </row>
    <row r="36" spans="1:10" ht="15">
      <c r="A36" s="167"/>
      <c r="B36" s="164" t="s">
        <v>162</v>
      </c>
      <c r="C36" s="180"/>
      <c r="D36" s="186">
        <v>150</v>
      </c>
      <c r="E36" s="186">
        <v>20</v>
      </c>
      <c r="F36" s="186">
        <v>7</v>
      </c>
      <c r="G36" s="187">
        <v>15</v>
      </c>
      <c r="I36" s="176">
        <f>+D36*E36*F36*G36</f>
        <v>315000</v>
      </c>
      <c r="J36" s="202"/>
    </row>
    <row r="37" spans="1:10" ht="15">
      <c r="A37" s="167"/>
      <c r="B37" s="164" t="s">
        <v>163</v>
      </c>
      <c r="C37" s="180"/>
      <c r="D37" s="186">
        <v>150</v>
      </c>
      <c r="E37" s="186">
        <v>20</v>
      </c>
      <c r="F37" s="186">
        <v>5</v>
      </c>
      <c r="G37" s="187">
        <v>5</v>
      </c>
      <c r="I37" s="177">
        <f>+D37*E37*F37*G37</f>
        <v>75000</v>
      </c>
    </row>
    <row r="38" spans="1:10" ht="15">
      <c r="A38" s="167"/>
      <c r="C38" s="180"/>
      <c r="D38" s="186"/>
      <c r="E38" s="186"/>
      <c r="F38" s="186"/>
      <c r="G38" s="186"/>
      <c r="I38" s="188">
        <f>SUM(I36:I37)</f>
        <v>390000</v>
      </c>
    </row>
    <row r="39" spans="1:10" ht="15">
      <c r="A39" s="167" t="s">
        <v>164</v>
      </c>
      <c r="C39" s="180"/>
      <c r="D39" s="186"/>
      <c r="E39" s="186"/>
      <c r="F39" s="186"/>
      <c r="G39" s="186"/>
      <c r="I39" s="176"/>
    </row>
    <row r="40" spans="1:10" ht="15">
      <c r="A40" s="167"/>
      <c r="B40" s="164" t="s">
        <v>162</v>
      </c>
      <c r="C40" s="180"/>
      <c r="D40" s="186">
        <v>150</v>
      </c>
      <c r="E40" s="186">
        <v>20</v>
      </c>
      <c r="F40" s="186">
        <v>7</v>
      </c>
      <c r="G40" s="187">
        <v>15</v>
      </c>
      <c r="I40" s="176">
        <f>+D40*E40*F40*G40</f>
        <v>315000</v>
      </c>
    </row>
    <row r="41" spans="1:10" ht="15">
      <c r="A41" s="167"/>
      <c r="B41" s="164" t="s">
        <v>163</v>
      </c>
      <c r="C41" s="180"/>
      <c r="D41" s="186">
        <v>150</v>
      </c>
      <c r="E41" s="186">
        <v>20</v>
      </c>
      <c r="F41" s="186">
        <v>5</v>
      </c>
      <c r="G41" s="187">
        <v>5</v>
      </c>
      <c r="I41" s="177">
        <f>+D41*E41*F41*G41</f>
        <v>75000</v>
      </c>
    </row>
    <row r="42" spans="1:10" ht="15">
      <c r="A42" s="167"/>
      <c r="C42" s="180"/>
      <c r="D42" s="186"/>
      <c r="E42" s="186"/>
      <c r="F42" s="186"/>
      <c r="G42" s="186"/>
      <c r="I42" s="188">
        <f>SUM(I40:I41)</f>
        <v>390000</v>
      </c>
    </row>
    <row r="43" spans="1:10" ht="15">
      <c r="A43" s="167" t="s">
        <v>165</v>
      </c>
      <c r="C43" s="180"/>
      <c r="D43" s="186"/>
      <c r="E43" s="186"/>
      <c r="F43" s="186"/>
      <c r="G43" s="186"/>
      <c r="I43" s="176"/>
    </row>
    <row r="44" spans="1:10" ht="15">
      <c r="A44" s="167"/>
      <c r="B44" s="164" t="s">
        <v>166</v>
      </c>
      <c r="C44" s="180"/>
      <c r="D44" s="186">
        <v>100</v>
      </c>
      <c r="E44" s="186">
        <v>8</v>
      </c>
      <c r="F44" s="186">
        <v>7</v>
      </c>
      <c r="G44" s="187">
        <v>15</v>
      </c>
      <c r="I44" s="176">
        <f t="shared" ref="I44:I45" si="1">+D44*E44*F44*G44</f>
        <v>84000</v>
      </c>
    </row>
    <row r="45" spans="1:10" ht="15">
      <c r="A45" s="167"/>
      <c r="B45" s="164" t="s">
        <v>167</v>
      </c>
      <c r="C45" s="180"/>
      <c r="D45" s="186">
        <v>75</v>
      </c>
      <c r="E45" s="186">
        <v>8</v>
      </c>
      <c r="F45" s="186">
        <v>5</v>
      </c>
      <c r="G45" s="187">
        <v>5</v>
      </c>
      <c r="I45" s="176">
        <f t="shared" si="1"/>
        <v>15000</v>
      </c>
    </row>
    <row r="46" spans="1:10" ht="15">
      <c r="A46" s="167"/>
      <c r="C46" s="180"/>
      <c r="D46" s="186"/>
      <c r="E46" s="186"/>
      <c r="F46" s="186"/>
      <c r="G46" s="187"/>
      <c r="I46" s="188">
        <f>SUM(I44:I45)</f>
        <v>99000</v>
      </c>
    </row>
    <row r="47" spans="1:10" ht="13.5" thickBot="1">
      <c r="A47" s="167"/>
      <c r="C47" s="189" t="s">
        <v>168</v>
      </c>
      <c r="D47" s="186"/>
      <c r="E47" s="186"/>
      <c r="F47" s="186"/>
      <c r="G47" s="186"/>
      <c r="I47" s="190">
        <f>+I38+I42+I46</f>
        <v>879000</v>
      </c>
    </row>
    <row r="48" spans="1:10" ht="15">
      <c r="A48" s="167"/>
      <c r="C48" s="180"/>
      <c r="D48" s="186"/>
      <c r="E48" s="186"/>
      <c r="F48" s="186"/>
      <c r="G48" s="186"/>
      <c r="H48" s="186"/>
      <c r="I48" s="176"/>
    </row>
    <row r="49" spans="1:9" ht="15">
      <c r="A49" s="167"/>
      <c r="C49" s="180"/>
      <c r="D49" s="186"/>
      <c r="E49" s="186"/>
      <c r="F49" s="186"/>
      <c r="G49" s="186"/>
      <c r="H49" s="186"/>
      <c r="I49" s="176"/>
    </row>
    <row r="50" spans="1:9" ht="15">
      <c r="A50" s="167"/>
      <c r="C50" s="180"/>
      <c r="D50" s="186"/>
      <c r="E50" s="186"/>
      <c r="F50" s="186"/>
      <c r="G50" s="186"/>
      <c r="H50" s="186"/>
      <c r="I50" s="176"/>
    </row>
    <row r="51" spans="1:9" ht="15">
      <c r="A51" s="167"/>
      <c r="C51" s="180"/>
      <c r="D51" s="186"/>
      <c r="E51" s="186"/>
      <c r="F51" s="186"/>
      <c r="G51" s="186"/>
      <c r="H51" s="186"/>
      <c r="I51" s="176"/>
    </row>
    <row r="52" spans="1:9" ht="15">
      <c r="A52" s="167"/>
      <c r="C52" s="180"/>
      <c r="D52" s="186"/>
      <c r="E52" s="186"/>
      <c r="F52" s="186"/>
      <c r="G52" s="186"/>
      <c r="H52" s="186"/>
      <c r="I52" s="176"/>
    </row>
    <row r="53" spans="1:9" ht="15">
      <c r="A53" s="167"/>
      <c r="C53" s="180"/>
      <c r="D53" s="186"/>
      <c r="E53" s="186"/>
      <c r="F53" s="186"/>
      <c r="G53" s="186"/>
      <c r="H53" s="186"/>
      <c r="I53" s="176"/>
    </row>
    <row r="54" spans="1:9" ht="15">
      <c r="A54" s="167"/>
      <c r="C54" s="180"/>
      <c r="D54" s="186"/>
      <c r="E54" s="186"/>
      <c r="F54" s="186"/>
      <c r="G54" s="186"/>
      <c r="H54" s="186"/>
      <c r="I54" s="176"/>
    </row>
    <row r="55" spans="1:9" ht="15">
      <c r="A55" s="185" t="s">
        <v>169</v>
      </c>
      <c r="C55" s="165"/>
      <c r="D55" s="191"/>
      <c r="E55" s="191"/>
      <c r="F55" s="191"/>
      <c r="G55" s="191"/>
      <c r="H55" s="191"/>
      <c r="I55" s="176"/>
    </row>
    <row r="56" spans="1:9" ht="15">
      <c r="A56" s="167" t="s">
        <v>161</v>
      </c>
      <c r="C56" s="165"/>
      <c r="D56" s="191"/>
      <c r="E56" s="191"/>
      <c r="F56" s="191"/>
      <c r="G56" s="191"/>
      <c r="H56" s="191"/>
      <c r="I56" s="176"/>
    </row>
    <row r="57" spans="1:9" ht="15">
      <c r="A57" s="167"/>
      <c r="B57" s="164" t="s">
        <v>170</v>
      </c>
      <c r="C57" s="180"/>
      <c r="D57" s="186">
        <v>40</v>
      </c>
      <c r="E57" s="186">
        <v>20</v>
      </c>
      <c r="F57" s="186">
        <v>5</v>
      </c>
      <c r="G57" s="187">
        <v>5</v>
      </c>
      <c r="I57" s="176">
        <v>16000</v>
      </c>
    </row>
    <row r="58" spans="1:9" ht="15">
      <c r="A58" s="167" t="s">
        <v>164</v>
      </c>
      <c r="C58" s="180"/>
      <c r="D58" s="186"/>
      <c r="E58" s="186"/>
      <c r="F58" s="186"/>
      <c r="G58" s="187"/>
      <c r="I58" s="176"/>
    </row>
    <row r="59" spans="1:9" ht="15">
      <c r="A59" s="167"/>
      <c r="B59" s="164" t="s">
        <v>170</v>
      </c>
      <c r="C59" s="180"/>
      <c r="D59" s="186">
        <v>40</v>
      </c>
      <c r="E59" s="186">
        <v>20</v>
      </c>
      <c r="F59" s="186">
        <v>5</v>
      </c>
      <c r="G59" s="187">
        <v>5</v>
      </c>
      <c r="I59" s="176">
        <v>16000</v>
      </c>
    </row>
    <row r="60" spans="1:9" ht="15">
      <c r="A60" s="167" t="s">
        <v>165</v>
      </c>
      <c r="C60" s="180"/>
      <c r="D60" s="186"/>
      <c r="E60" s="186"/>
      <c r="F60" s="186"/>
      <c r="G60" s="187"/>
      <c r="I60" s="176"/>
    </row>
    <row r="61" spans="1:9" ht="15">
      <c r="A61" s="167"/>
      <c r="B61" s="164" t="s">
        <v>170</v>
      </c>
      <c r="C61" s="180"/>
      <c r="D61" s="186">
        <v>20</v>
      </c>
      <c r="E61" s="186">
        <v>8</v>
      </c>
      <c r="F61" s="186">
        <v>5</v>
      </c>
      <c r="G61" s="187">
        <v>5</v>
      </c>
      <c r="I61" s="176">
        <v>3200</v>
      </c>
    </row>
    <row r="62" spans="1:9" ht="15">
      <c r="A62" s="167" t="s">
        <v>171</v>
      </c>
      <c r="C62" s="180"/>
      <c r="D62" s="186"/>
      <c r="E62" s="186"/>
      <c r="F62" s="186"/>
      <c r="G62" s="187"/>
      <c r="I62" s="176"/>
    </row>
    <row r="63" spans="1:9" ht="15">
      <c r="A63" s="167"/>
      <c r="B63" s="164" t="s">
        <v>172</v>
      </c>
      <c r="C63" s="180"/>
      <c r="D63" s="186">
        <v>20</v>
      </c>
      <c r="E63" s="186">
        <v>22</v>
      </c>
      <c r="F63" s="186">
        <v>5</v>
      </c>
      <c r="G63" s="187">
        <v>6</v>
      </c>
      <c r="I63" s="176">
        <v>11000</v>
      </c>
    </row>
    <row r="64" spans="1:9" ht="15">
      <c r="A64" s="167"/>
      <c r="B64" s="164" t="s">
        <v>173</v>
      </c>
      <c r="D64" s="186">
        <v>10</v>
      </c>
      <c r="E64" s="186">
        <v>22</v>
      </c>
      <c r="F64" s="186">
        <v>5</v>
      </c>
      <c r="G64" s="187">
        <v>5</v>
      </c>
      <c r="I64" s="176">
        <v>4400</v>
      </c>
    </row>
    <row r="65" spans="1:9" ht="15">
      <c r="A65" s="167"/>
      <c r="B65" s="164" t="s">
        <v>174</v>
      </c>
      <c r="D65" s="186">
        <v>10</v>
      </c>
      <c r="E65" s="186">
        <v>22</v>
      </c>
      <c r="F65" s="186">
        <v>5</v>
      </c>
      <c r="G65" s="187">
        <v>6</v>
      </c>
      <c r="I65" s="176">
        <v>5500</v>
      </c>
    </row>
    <row r="66" spans="1:9" ht="13.5" thickBot="1">
      <c r="A66" s="167"/>
      <c r="C66" s="189" t="s">
        <v>175</v>
      </c>
      <c r="D66" s="191"/>
      <c r="E66" s="191"/>
      <c r="F66" s="191"/>
      <c r="I66" s="190">
        <v>56100</v>
      </c>
    </row>
    <row r="67" spans="1:9">
      <c r="A67" s="167"/>
      <c r="C67" s="165"/>
      <c r="D67" s="191"/>
      <c r="E67" s="191"/>
      <c r="F67" s="191"/>
      <c r="I67" s="191"/>
    </row>
    <row r="68" spans="1:9" ht="13.5" thickBot="1">
      <c r="A68" s="167"/>
      <c r="C68" s="165" t="s">
        <v>176</v>
      </c>
      <c r="D68" s="191"/>
      <c r="E68" s="191"/>
      <c r="F68" s="191"/>
      <c r="I68" s="192">
        <f>+I47+I66</f>
        <v>935100</v>
      </c>
    </row>
    <row r="69" spans="1:9" ht="13.5" thickTop="1"/>
    <row r="71" spans="1:9">
      <c r="A71" s="167" t="s">
        <v>177</v>
      </c>
    </row>
    <row r="72" spans="1:9">
      <c r="A72" s="185" t="s">
        <v>178</v>
      </c>
      <c r="E72" s="205" t="s">
        <v>179</v>
      </c>
      <c r="F72" s="205"/>
      <c r="G72" s="205"/>
    </row>
    <row r="73" spans="1:9" ht="22.5">
      <c r="B73" s="164" t="s">
        <v>180</v>
      </c>
      <c r="D73" s="193"/>
      <c r="E73" s="193" t="s">
        <v>181</v>
      </c>
      <c r="G73" s="193" t="s">
        <v>172</v>
      </c>
    </row>
    <row r="74" spans="1:9" ht="15">
      <c r="C74" s="164" t="s">
        <v>182</v>
      </c>
      <c r="D74" s="194"/>
      <c r="E74" s="195">
        <v>5</v>
      </c>
      <c r="G74" s="195">
        <v>6</v>
      </c>
    </row>
    <row r="75" spans="1:9" ht="15">
      <c r="C75" s="164" t="s">
        <v>183</v>
      </c>
      <c r="D75" s="194"/>
      <c r="E75" s="195">
        <v>5</v>
      </c>
      <c r="G75" s="195">
        <v>6</v>
      </c>
    </row>
    <row r="76" spans="1:9" ht="15">
      <c r="C76" s="164" t="s">
        <v>184</v>
      </c>
      <c r="D76" s="194"/>
      <c r="E76" s="195">
        <v>5</v>
      </c>
      <c r="G76" s="195">
        <v>6</v>
      </c>
    </row>
    <row r="78" spans="1:9">
      <c r="B78" s="164" t="s">
        <v>185</v>
      </c>
    </row>
    <row r="79" spans="1:9">
      <c r="C79" s="164" t="s">
        <v>161</v>
      </c>
      <c r="D79" s="196">
        <v>20</v>
      </c>
      <c r="E79" s="196"/>
      <c r="F79" s="196"/>
    </row>
    <row r="80" spans="1:9">
      <c r="C80" s="164" t="s">
        <v>164</v>
      </c>
      <c r="D80" s="196">
        <v>20</v>
      </c>
      <c r="E80" s="196"/>
      <c r="F80" s="196"/>
    </row>
    <row r="81" spans="1:8">
      <c r="C81" s="164" t="s">
        <v>165</v>
      </c>
      <c r="D81" s="196">
        <v>8</v>
      </c>
      <c r="E81" s="196"/>
      <c r="F81" s="196"/>
    </row>
    <row r="83" spans="1:8">
      <c r="B83" s="164" t="s">
        <v>186</v>
      </c>
    </row>
    <row r="85" spans="1:8">
      <c r="A85" s="185" t="s">
        <v>187</v>
      </c>
      <c r="E85" s="175"/>
      <c r="F85" s="175"/>
      <c r="G85" s="175"/>
      <c r="H85" s="175"/>
    </row>
    <row r="86" spans="1:8">
      <c r="B86" s="175" t="s">
        <v>188</v>
      </c>
      <c r="C86" s="175"/>
      <c r="D86" s="175"/>
      <c r="E86" s="175"/>
      <c r="F86" s="175"/>
      <c r="G86" s="175"/>
    </row>
    <row r="87" spans="1:8">
      <c r="B87" s="175"/>
      <c r="C87" s="175" t="s">
        <v>189</v>
      </c>
      <c r="D87" s="175"/>
      <c r="E87" s="175"/>
      <c r="F87" s="175"/>
      <c r="G87" s="175"/>
    </row>
    <row r="88" spans="1:8">
      <c r="B88" s="175"/>
      <c r="C88" s="175" t="s">
        <v>190</v>
      </c>
      <c r="D88" s="175"/>
      <c r="E88" s="175"/>
      <c r="F88" s="175"/>
      <c r="G88" s="175"/>
    </row>
    <row r="89" spans="1:8">
      <c r="B89" s="175" t="s">
        <v>191</v>
      </c>
      <c r="C89" s="175"/>
      <c r="D89" s="175"/>
      <c r="E89" s="175"/>
      <c r="F89" s="175"/>
      <c r="G89" s="175"/>
    </row>
    <row r="90" spans="1:8">
      <c r="B90" s="175"/>
      <c r="C90" s="175"/>
      <c r="D90" s="175"/>
      <c r="E90" s="175"/>
      <c r="F90" s="174"/>
      <c r="G90" s="175"/>
    </row>
    <row r="91" spans="1:8">
      <c r="B91" s="175"/>
      <c r="C91" s="175" t="s">
        <v>225</v>
      </c>
      <c r="D91" s="175"/>
      <c r="E91" s="175"/>
      <c r="F91" s="175"/>
      <c r="G91" s="175"/>
    </row>
    <row r="92" spans="1:8">
      <c r="B92" s="175"/>
      <c r="C92" s="175" t="s">
        <v>192</v>
      </c>
      <c r="D92" s="175"/>
      <c r="E92" s="175"/>
      <c r="F92" s="175"/>
      <c r="G92" s="175"/>
    </row>
    <row r="93" spans="1:8">
      <c r="B93" s="175"/>
      <c r="C93" s="175" t="s">
        <v>193</v>
      </c>
      <c r="D93" s="175" t="s">
        <v>194</v>
      </c>
      <c r="E93" s="175"/>
      <c r="F93" s="175"/>
      <c r="G93" s="175"/>
    </row>
    <row r="94" spans="1:8">
      <c r="B94" s="175"/>
      <c r="C94" s="175" t="s">
        <v>195</v>
      </c>
      <c r="D94" s="175" t="s">
        <v>194</v>
      </c>
      <c r="E94" s="175"/>
      <c r="F94" s="175"/>
      <c r="G94" s="175"/>
    </row>
    <row r="95" spans="1:8">
      <c r="B95" s="175"/>
      <c r="C95" s="175" t="s">
        <v>196</v>
      </c>
      <c r="D95" s="175" t="s">
        <v>197</v>
      </c>
      <c r="E95" s="175"/>
      <c r="F95" s="175"/>
      <c r="G95" s="175"/>
    </row>
    <row r="96" spans="1:8">
      <c r="B96" s="175"/>
      <c r="C96" s="175" t="s">
        <v>198</v>
      </c>
      <c r="D96" s="175" t="s">
        <v>197</v>
      </c>
      <c r="E96" s="175"/>
      <c r="F96" s="175"/>
      <c r="G96" s="175"/>
    </row>
    <row r="97" spans="2:7">
      <c r="B97" s="175"/>
      <c r="C97" s="175" t="s">
        <v>199</v>
      </c>
      <c r="D97" s="175"/>
      <c r="E97" s="175"/>
      <c r="F97" s="175"/>
      <c r="G97" s="175"/>
    </row>
    <row r="99" spans="2:7" ht="15">
      <c r="C99" s="164" t="s">
        <v>200</v>
      </c>
      <c r="G99" s="176">
        <v>12500</v>
      </c>
    </row>
    <row r="100" spans="2:7" ht="15">
      <c r="C100" s="164" t="s">
        <v>201</v>
      </c>
      <c r="G100" s="177">
        <v>52</v>
      </c>
    </row>
    <row r="101" spans="2:7" ht="13.5" thickBot="1">
      <c r="G101" s="197">
        <f>SUM(G99*52)</f>
        <v>650000</v>
      </c>
    </row>
    <row r="102" spans="2:7" ht="13.5" thickTop="1">
      <c r="B102" s="198"/>
    </row>
    <row r="103" spans="2:7">
      <c r="B103" s="198"/>
    </row>
  </sheetData>
  <mergeCells count="4">
    <mergeCell ref="A1:G1"/>
    <mergeCell ref="A2:G2"/>
    <mergeCell ref="A3:G3"/>
    <mergeCell ref="E72:G72"/>
  </mergeCells>
  <pageMargins left="0.7" right="0.7" top="0.75" bottom="0.75" header="0.3" footer="0.3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N5" sqref="N5"/>
    </sheetView>
  </sheetViews>
  <sheetFormatPr defaultRowHeight="15"/>
  <cols>
    <col min="1" max="1" width="17.28515625" customWidth="1"/>
    <col min="14" max="14" width="11.5703125" style="113" bestFit="1" customWidth="1"/>
    <col min="15" max="15" width="11.5703125" bestFit="1" customWidth="1"/>
  </cols>
  <sheetData>
    <row r="1" spans="1:14">
      <c r="A1" t="s">
        <v>92</v>
      </c>
    </row>
    <row r="3" spans="1:14" ht="90.75" customHeight="1">
      <c r="A3" s="112" t="s">
        <v>27</v>
      </c>
      <c r="B3" s="115"/>
      <c r="C3" s="221" t="s">
        <v>100</v>
      </c>
      <c r="D3" s="222"/>
      <c r="E3" s="222"/>
      <c r="F3" s="222"/>
      <c r="G3" s="222"/>
      <c r="H3" s="222"/>
      <c r="I3" s="222"/>
      <c r="J3" s="222"/>
      <c r="K3" s="222"/>
      <c r="L3" s="222"/>
      <c r="M3" s="223"/>
      <c r="N3" s="114" t="s">
        <v>44</v>
      </c>
    </row>
    <row r="4" spans="1:14" ht="15.75">
      <c r="A4" s="105" t="s">
        <v>25</v>
      </c>
      <c r="B4" s="106">
        <v>1</v>
      </c>
      <c r="C4" s="230" t="s">
        <v>94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114"/>
    </row>
    <row r="5" spans="1:14" ht="15" customHeight="1">
      <c r="A5" s="107" t="s">
        <v>68</v>
      </c>
      <c r="B5" s="108">
        <v>1.1000000000000001</v>
      </c>
      <c r="C5" s="221" t="s">
        <v>95</v>
      </c>
      <c r="D5" s="222"/>
      <c r="E5" s="222"/>
      <c r="F5" s="222"/>
      <c r="G5" s="222"/>
      <c r="H5" s="222"/>
      <c r="I5" s="222"/>
      <c r="J5" s="222"/>
      <c r="K5" s="222"/>
      <c r="L5" s="222"/>
      <c r="M5" s="223"/>
      <c r="N5" s="114">
        <f>+'Activity Cost'!H5</f>
        <v>181059.29881400001</v>
      </c>
    </row>
    <row r="6" spans="1:14">
      <c r="A6" s="110" t="s">
        <v>28</v>
      </c>
      <c r="B6" s="104">
        <v>2</v>
      </c>
      <c r="C6" s="211" t="s">
        <v>96</v>
      </c>
      <c r="D6" s="212"/>
      <c r="E6" s="212"/>
      <c r="F6" s="212"/>
      <c r="G6" s="212"/>
      <c r="H6" s="212"/>
      <c r="I6" s="212"/>
      <c r="J6" s="212"/>
      <c r="K6" s="212"/>
      <c r="L6" s="212"/>
      <c r="M6" s="238"/>
      <c r="N6" s="114"/>
    </row>
    <row r="7" spans="1:14" ht="15" customHeight="1">
      <c r="A7" s="98" t="s">
        <v>67</v>
      </c>
      <c r="B7" s="108">
        <v>2.1</v>
      </c>
      <c r="C7" s="208" t="s">
        <v>97</v>
      </c>
      <c r="D7" s="209"/>
      <c r="E7" s="209"/>
      <c r="F7" s="209"/>
      <c r="G7" s="209"/>
      <c r="H7" s="209"/>
      <c r="I7" s="209"/>
      <c r="J7" s="209"/>
      <c r="K7" s="209"/>
      <c r="L7" s="209"/>
      <c r="M7" s="210"/>
      <c r="N7" s="114">
        <f>+'Activity Cost'!H6</f>
        <v>58732.775164000006</v>
      </c>
    </row>
    <row r="8" spans="1:14">
      <c r="A8" s="111" t="s">
        <v>25</v>
      </c>
      <c r="B8" s="109">
        <v>3</v>
      </c>
      <c r="C8" s="208" t="s">
        <v>98</v>
      </c>
      <c r="D8" s="209"/>
      <c r="E8" s="209"/>
      <c r="F8" s="209"/>
      <c r="G8" s="209"/>
      <c r="H8" s="209"/>
      <c r="I8" s="209"/>
      <c r="J8" s="209"/>
      <c r="K8" s="209"/>
      <c r="L8" s="209"/>
      <c r="M8" s="210"/>
      <c r="N8" s="114"/>
    </row>
    <row r="9" spans="1:14">
      <c r="A9" s="98" t="s">
        <v>67</v>
      </c>
      <c r="B9" s="109">
        <v>3.1</v>
      </c>
      <c r="C9" s="211" t="s">
        <v>99</v>
      </c>
      <c r="D9" s="212"/>
      <c r="E9" s="212"/>
      <c r="F9" s="212"/>
      <c r="G9" s="212"/>
      <c r="H9" s="212"/>
      <c r="I9" s="212"/>
      <c r="J9" s="212"/>
      <c r="K9" s="212"/>
      <c r="L9" s="212"/>
      <c r="M9" s="238"/>
      <c r="N9" s="114">
        <f>+'Activity Cost'!H7</f>
        <v>21606.455901999998</v>
      </c>
    </row>
    <row r="11" spans="1:14">
      <c r="N11" s="113">
        <f>+N5+N7+N9</f>
        <v>261398.52988000002</v>
      </c>
    </row>
    <row r="12" spans="1:14">
      <c r="N12" s="113">
        <f>+N11-'line item'!F24</f>
        <v>0</v>
      </c>
    </row>
  </sheetData>
  <mergeCells count="7">
    <mergeCell ref="C9:M9"/>
    <mergeCell ref="C8:M8"/>
    <mergeCell ref="C3:M3"/>
    <mergeCell ref="C5:M5"/>
    <mergeCell ref="C6:M6"/>
    <mergeCell ref="C7:M7"/>
    <mergeCell ref="C4:M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6" sqref="B6"/>
    </sheetView>
  </sheetViews>
  <sheetFormatPr defaultColWidth="8.85546875" defaultRowHeight="15"/>
  <cols>
    <col min="1" max="1" width="19.42578125" style="6" customWidth="1"/>
    <col min="2" max="5" width="8.85546875" style="6"/>
    <col min="6" max="6" width="12.7109375" style="6" customWidth="1"/>
    <col min="7" max="11" width="8.85546875" style="6"/>
  </cols>
  <sheetData>
    <row r="1" spans="1:6" ht="20.25">
      <c r="A1" s="9" t="s">
        <v>53</v>
      </c>
      <c r="B1" s="8"/>
      <c r="C1" s="8"/>
      <c r="D1" s="8"/>
      <c r="E1" s="8"/>
      <c r="F1" s="8"/>
    </row>
    <row r="2" spans="1:6">
      <c r="A2" s="5" t="s">
        <v>19</v>
      </c>
      <c r="B2" s="6" t="s">
        <v>78</v>
      </c>
    </row>
    <row r="3" spans="1:6">
      <c r="A3" s="5"/>
    </row>
    <row r="4" spans="1:6">
      <c r="A4" s="5" t="s">
        <v>49</v>
      </c>
      <c r="B4" s="6" t="s">
        <v>50</v>
      </c>
    </row>
    <row r="5" spans="1:6">
      <c r="A5" s="5"/>
    </row>
    <row r="6" spans="1:6">
      <c r="A6" s="5" t="s">
        <v>65</v>
      </c>
      <c r="B6" s="6" t="s">
        <v>13</v>
      </c>
    </row>
    <row r="7" spans="1:6">
      <c r="A7" s="5"/>
    </row>
    <row r="8" spans="1:6">
      <c r="A8" s="5" t="s">
        <v>20</v>
      </c>
      <c r="B8" s="6" t="s">
        <v>79</v>
      </c>
    </row>
    <row r="9" spans="1:6">
      <c r="A9" s="5"/>
    </row>
    <row r="10" spans="1:6">
      <c r="A10" s="5" t="s">
        <v>21</v>
      </c>
      <c r="B10" s="6" t="s">
        <v>45</v>
      </c>
    </row>
    <row r="33" ht="16.5" customHeight="1"/>
    <row r="34" ht="22.5" customHeight="1"/>
    <row r="35" ht="19.5" customHeight="1"/>
    <row r="36" ht="21" customHeight="1"/>
    <row r="37" ht="19.5" customHeight="1"/>
  </sheetData>
  <phoneticPr fontId="2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activeCell="C16" sqref="C16"/>
    </sheetView>
  </sheetViews>
  <sheetFormatPr defaultColWidth="8.85546875" defaultRowHeight="15"/>
  <cols>
    <col min="1" max="1" width="18.42578125" style="6" customWidth="1"/>
    <col min="2" max="2" width="6.42578125" style="6" customWidth="1"/>
    <col min="3" max="8" width="8.85546875" style="6"/>
    <col min="9" max="9" width="9.140625" style="6" customWidth="1"/>
    <col min="10" max="11" width="8.85546875" style="6"/>
    <col min="12" max="12" width="8.85546875" style="6" customWidth="1"/>
    <col min="13" max="13" width="34" style="6" hidden="1" customWidth="1"/>
  </cols>
  <sheetData>
    <row r="1" spans="1:14" ht="15.75" thickBot="1"/>
    <row r="2" spans="1:14" ht="23.25" customHeight="1" thickBot="1">
      <c r="A2" s="216" t="s">
        <v>39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8"/>
      <c r="N2" s="75"/>
    </row>
    <row r="3" spans="1:14" ht="18.75" customHeight="1" thickTop="1">
      <c r="A3" s="219" t="s">
        <v>101</v>
      </c>
      <c r="B3" s="220"/>
      <c r="C3" s="228" t="s">
        <v>93</v>
      </c>
      <c r="D3" s="228"/>
      <c r="E3" s="228"/>
      <c r="F3" s="228"/>
      <c r="G3" s="228"/>
      <c r="H3" s="228"/>
      <c r="I3" s="228"/>
      <c r="J3" s="228"/>
      <c r="K3" s="228"/>
      <c r="L3" s="228"/>
      <c r="M3" s="229"/>
      <c r="N3" s="131"/>
    </row>
    <row r="4" spans="1:14" ht="45.75" customHeight="1">
      <c r="A4" s="224" t="s">
        <v>77</v>
      </c>
      <c r="B4" s="225"/>
      <c r="C4" s="226" t="s">
        <v>125</v>
      </c>
      <c r="D4" s="227"/>
      <c r="E4" s="227"/>
      <c r="F4" s="227"/>
      <c r="G4" s="227"/>
      <c r="H4" s="227"/>
      <c r="I4" s="227"/>
      <c r="J4" s="227"/>
      <c r="K4" s="227"/>
      <c r="L4" s="227"/>
      <c r="M4" s="132"/>
      <c r="N4" s="131"/>
    </row>
    <row r="5" spans="1:14">
      <c r="A5" s="133" t="s">
        <v>27</v>
      </c>
      <c r="B5" s="95">
        <v>1</v>
      </c>
      <c r="C5" s="221" t="s">
        <v>126</v>
      </c>
      <c r="D5" s="222"/>
      <c r="E5" s="222"/>
      <c r="F5" s="222"/>
      <c r="G5" s="222"/>
      <c r="H5" s="222"/>
      <c r="I5" s="222"/>
      <c r="J5" s="222"/>
      <c r="K5" s="222"/>
      <c r="L5" s="223"/>
      <c r="M5" s="134"/>
      <c r="N5" s="10"/>
    </row>
    <row r="6" spans="1:14" ht="27.75" customHeight="1">
      <c r="A6" s="135" t="s">
        <v>25</v>
      </c>
      <c r="B6" s="96">
        <v>1</v>
      </c>
      <c r="C6" s="230" t="s">
        <v>127</v>
      </c>
      <c r="D6" s="230"/>
      <c r="E6" s="230"/>
      <c r="F6" s="230"/>
      <c r="G6" s="230"/>
      <c r="H6" s="230"/>
      <c r="I6" s="230"/>
      <c r="J6" s="230"/>
      <c r="K6" s="230"/>
      <c r="L6" s="230"/>
      <c r="M6" s="231"/>
      <c r="N6" s="131"/>
    </row>
    <row r="7" spans="1:14" ht="15" customHeight="1">
      <c r="A7" s="136" t="s">
        <v>68</v>
      </c>
      <c r="B7" s="11">
        <v>1.1000000000000001</v>
      </c>
      <c r="C7" s="211" t="s">
        <v>128</v>
      </c>
      <c r="D7" s="212"/>
      <c r="E7" s="212"/>
      <c r="F7" s="212"/>
      <c r="G7" s="212"/>
      <c r="H7" s="212"/>
      <c r="I7" s="212"/>
      <c r="J7" s="212"/>
      <c r="K7" s="212"/>
      <c r="L7" s="212"/>
      <c r="M7" s="137"/>
      <c r="N7" s="131"/>
    </row>
    <row r="8" spans="1:14" ht="15" customHeight="1">
      <c r="A8" s="138" t="s">
        <v>24</v>
      </c>
      <c r="B8" s="94" t="s">
        <v>132</v>
      </c>
      <c r="C8" s="208" t="s">
        <v>129</v>
      </c>
      <c r="D8" s="209"/>
      <c r="E8" s="209"/>
      <c r="F8" s="209"/>
      <c r="G8" s="209"/>
      <c r="H8" s="209"/>
      <c r="I8" s="209"/>
      <c r="J8" s="209"/>
      <c r="K8" s="209"/>
      <c r="L8" s="210"/>
      <c r="M8" s="134"/>
      <c r="N8" s="131"/>
    </row>
    <row r="9" spans="1:14" ht="15" customHeight="1">
      <c r="A9" s="139" t="s">
        <v>28</v>
      </c>
      <c r="B9" s="95">
        <v>2</v>
      </c>
      <c r="C9" s="211" t="s">
        <v>134</v>
      </c>
      <c r="D9" s="212"/>
      <c r="E9" s="212"/>
      <c r="F9" s="212"/>
      <c r="G9" s="212"/>
      <c r="H9" s="212"/>
      <c r="I9" s="212"/>
      <c r="J9" s="212"/>
      <c r="K9" s="212"/>
      <c r="L9" s="212"/>
      <c r="M9" s="140"/>
      <c r="N9" s="131"/>
    </row>
    <row r="10" spans="1:14" ht="15" customHeight="1">
      <c r="A10" s="141" t="s">
        <v>67</v>
      </c>
      <c r="B10" s="11">
        <v>2.1</v>
      </c>
      <c r="C10" s="208" t="s">
        <v>131</v>
      </c>
      <c r="D10" s="209"/>
      <c r="E10" s="209"/>
      <c r="F10" s="209"/>
      <c r="G10" s="209"/>
      <c r="H10" s="209"/>
      <c r="I10" s="209"/>
      <c r="J10" s="209"/>
      <c r="K10" s="209"/>
      <c r="L10" s="209"/>
      <c r="M10" s="134"/>
      <c r="N10" s="131"/>
    </row>
    <row r="11" spans="1:14" ht="15" customHeight="1">
      <c r="A11" s="138" t="s">
        <v>26</v>
      </c>
      <c r="B11" s="94" t="s">
        <v>133</v>
      </c>
      <c r="C11" s="214" t="s">
        <v>130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5"/>
      <c r="N11" s="131"/>
    </row>
    <row r="12" spans="1:14">
      <c r="A12" s="142" t="s">
        <v>25</v>
      </c>
      <c r="B12" s="94">
        <v>3</v>
      </c>
      <c r="C12" s="208" t="s">
        <v>135</v>
      </c>
      <c r="D12" s="209"/>
      <c r="E12" s="209"/>
      <c r="F12" s="209"/>
      <c r="G12" s="209"/>
      <c r="H12" s="209"/>
      <c r="I12" s="209"/>
      <c r="J12" s="209"/>
      <c r="K12" s="209"/>
      <c r="L12" s="210"/>
      <c r="M12" s="134"/>
      <c r="N12" s="10"/>
    </row>
    <row r="13" spans="1:14">
      <c r="A13" s="141" t="s">
        <v>67</v>
      </c>
      <c r="B13" s="94">
        <v>3.1</v>
      </c>
      <c r="C13" s="211" t="s">
        <v>136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3"/>
      <c r="N13" s="10"/>
    </row>
    <row r="14" spans="1:14" ht="15.75" thickBot="1">
      <c r="A14" s="143" t="s">
        <v>26</v>
      </c>
      <c r="B14" s="144" t="s">
        <v>137</v>
      </c>
      <c r="C14" s="206" t="s">
        <v>138</v>
      </c>
      <c r="D14" s="206"/>
      <c r="E14" s="206"/>
      <c r="F14" s="206"/>
      <c r="G14" s="206"/>
      <c r="H14" s="206"/>
      <c r="I14" s="206"/>
      <c r="J14" s="206"/>
      <c r="K14" s="206"/>
      <c r="L14" s="206"/>
      <c r="M14" s="207"/>
      <c r="N14" s="10"/>
    </row>
    <row r="15" spans="1:14">
      <c r="N15" s="10"/>
    </row>
    <row r="16" spans="1:14">
      <c r="N16" s="10"/>
    </row>
    <row r="17" spans="14:14">
      <c r="N17" s="10"/>
    </row>
    <row r="18" spans="14:14">
      <c r="N18" s="10"/>
    </row>
    <row r="19" spans="14:14">
      <c r="N19" s="10"/>
    </row>
    <row r="20" spans="14:14">
      <c r="N20" s="10"/>
    </row>
    <row r="21" spans="14:14">
      <c r="N21" s="10"/>
    </row>
    <row r="22" spans="14:14">
      <c r="N22" s="10"/>
    </row>
    <row r="23" spans="14:14">
      <c r="N23" s="10"/>
    </row>
    <row r="24" spans="14:14">
      <c r="N24" s="10"/>
    </row>
    <row r="25" spans="14:14">
      <c r="N25" s="10"/>
    </row>
    <row r="26" spans="14:14">
      <c r="N26" s="10"/>
    </row>
    <row r="27" spans="14:14">
      <c r="N27" s="10"/>
    </row>
    <row r="28" spans="14:14">
      <c r="N28" s="10"/>
    </row>
    <row r="29" spans="14:14">
      <c r="N29" s="10"/>
    </row>
    <row r="30" spans="14:14">
      <c r="N30" s="10"/>
    </row>
    <row r="31" spans="14:14">
      <c r="N31" s="10"/>
    </row>
    <row r="32" spans="14:14">
      <c r="N32" s="10"/>
    </row>
    <row r="33" spans="14:14">
      <c r="N33" s="10"/>
    </row>
    <row r="34" spans="14:14">
      <c r="N34" s="10"/>
    </row>
    <row r="35" spans="14:14">
      <c r="N35" s="10"/>
    </row>
    <row r="36" spans="14:14">
      <c r="N36" s="10"/>
    </row>
    <row r="37" spans="14:14">
      <c r="N37" s="10"/>
    </row>
    <row r="38" spans="14:14">
      <c r="N38" s="10"/>
    </row>
    <row r="39" spans="14:14">
      <c r="N39" s="10"/>
    </row>
    <row r="40" spans="14:14">
      <c r="N40" s="10"/>
    </row>
    <row r="41" spans="14:14">
      <c r="N41" s="10"/>
    </row>
    <row r="42" spans="14:14">
      <c r="N42" s="10"/>
    </row>
    <row r="43" spans="14:14">
      <c r="N43" s="10"/>
    </row>
    <row r="44" spans="14:14">
      <c r="N44" s="10"/>
    </row>
    <row r="45" spans="14:14">
      <c r="N45" s="10"/>
    </row>
    <row r="46" spans="14:14">
      <c r="N46" s="10"/>
    </row>
    <row r="47" spans="14:14">
      <c r="N47" s="10"/>
    </row>
    <row r="48" spans="14:14">
      <c r="N48" s="10"/>
    </row>
    <row r="49" spans="14:14">
      <c r="N49" s="10"/>
    </row>
    <row r="50" spans="14:14">
      <c r="N50" s="10"/>
    </row>
    <row r="51" spans="14:14">
      <c r="N51" s="10"/>
    </row>
    <row r="52" spans="14:14">
      <c r="N52" s="10"/>
    </row>
    <row r="53" spans="14:14">
      <c r="N53" s="10"/>
    </row>
    <row r="54" spans="14:14">
      <c r="N54" s="10"/>
    </row>
    <row r="55" spans="14:14">
      <c r="N55" s="10"/>
    </row>
    <row r="56" spans="14:14">
      <c r="N56" s="10"/>
    </row>
    <row r="57" spans="14:14">
      <c r="N57" s="10"/>
    </row>
    <row r="58" spans="14:14">
      <c r="N58" s="10"/>
    </row>
    <row r="59" spans="14:14">
      <c r="N59" s="10"/>
    </row>
    <row r="60" spans="14:14">
      <c r="N60" s="10"/>
    </row>
    <row r="61" spans="14:14">
      <c r="N61" s="10"/>
    </row>
    <row r="62" spans="14:14">
      <c r="N62" s="10"/>
    </row>
    <row r="63" spans="14:14">
      <c r="N63" s="10"/>
    </row>
    <row r="64" spans="14:14">
      <c r="N64" s="10"/>
    </row>
    <row r="65" spans="14:14">
      <c r="N65" s="10"/>
    </row>
    <row r="66" spans="14:14">
      <c r="N66" s="10"/>
    </row>
    <row r="67" spans="14:14">
      <c r="N67" s="10"/>
    </row>
    <row r="68" spans="14:14">
      <c r="N68" s="10"/>
    </row>
    <row r="69" spans="14:14">
      <c r="N69" s="10"/>
    </row>
    <row r="70" spans="14:14">
      <c r="N70" s="10"/>
    </row>
    <row r="71" spans="14:14">
      <c r="N71" s="10"/>
    </row>
    <row r="72" spans="14:14">
      <c r="N72" s="10"/>
    </row>
    <row r="73" spans="14:14">
      <c r="N73" s="10"/>
    </row>
    <row r="74" spans="14:14">
      <c r="N74" s="10"/>
    </row>
    <row r="75" spans="14:14">
      <c r="N75" s="10"/>
    </row>
    <row r="76" spans="14:14">
      <c r="N76" s="10"/>
    </row>
    <row r="77" spans="14:14">
      <c r="N77" s="10"/>
    </row>
    <row r="78" spans="14:14">
      <c r="N78" s="10"/>
    </row>
    <row r="79" spans="14:14">
      <c r="N79" s="10"/>
    </row>
    <row r="80" spans="14:14">
      <c r="N80" s="10"/>
    </row>
    <row r="81" spans="14:14">
      <c r="N81" s="10"/>
    </row>
    <row r="82" spans="14:14">
      <c r="N82" s="10"/>
    </row>
    <row r="83" spans="14:14">
      <c r="N83" s="10"/>
    </row>
    <row r="84" spans="14:14">
      <c r="N84" s="10"/>
    </row>
  </sheetData>
  <mergeCells count="15">
    <mergeCell ref="C8:L8"/>
    <mergeCell ref="A2:M2"/>
    <mergeCell ref="A3:B3"/>
    <mergeCell ref="C5:L5"/>
    <mergeCell ref="C7:L7"/>
    <mergeCell ref="A4:B4"/>
    <mergeCell ref="C4:L4"/>
    <mergeCell ref="C3:M3"/>
    <mergeCell ref="C6:M6"/>
    <mergeCell ref="C14:M14"/>
    <mergeCell ref="C12:L12"/>
    <mergeCell ref="C13:M13"/>
    <mergeCell ref="C9:L9"/>
    <mergeCell ref="C10:L10"/>
    <mergeCell ref="C11:M11"/>
  </mergeCells>
  <phoneticPr fontId="2" type="noConversion"/>
  <pageMargins left="0.7" right="0.7" top="0.75" bottom="0.75" header="0.3" footer="0.3"/>
  <pageSetup scale="80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workbookViewId="0">
      <selection activeCell="E15" sqref="E15"/>
    </sheetView>
  </sheetViews>
  <sheetFormatPr defaultColWidth="8.85546875" defaultRowHeight="15"/>
  <cols>
    <col min="1" max="1" width="21.7109375" customWidth="1"/>
    <col min="2" max="2" width="28" bestFit="1" customWidth="1"/>
    <col min="3" max="3" width="8.140625" customWidth="1"/>
    <col min="4" max="4" width="3" bestFit="1" customWidth="1"/>
    <col min="5" max="5" width="2.28515625" bestFit="1" customWidth="1"/>
    <col min="6" max="6" width="14" bestFit="1" customWidth="1"/>
    <col min="7" max="7" width="4.7109375" customWidth="1"/>
    <col min="8" max="8" width="4.5703125" customWidth="1"/>
    <col min="9" max="9" width="2.28515625" bestFit="1" customWidth="1"/>
    <col min="10" max="10" width="12.7109375" bestFit="1" customWidth="1"/>
    <col min="11" max="11" width="11.28515625" bestFit="1" customWidth="1"/>
    <col min="12" max="12" width="11.7109375" customWidth="1"/>
    <col min="13" max="13" width="12.85546875" customWidth="1"/>
    <col min="14" max="14" width="13.42578125" customWidth="1"/>
    <col min="15" max="18" width="12.7109375" bestFit="1" customWidth="1"/>
  </cols>
  <sheetData>
    <row r="1" spans="1:18" s="6" customFormat="1">
      <c r="C1" s="233" t="s">
        <v>213</v>
      </c>
      <c r="D1" s="233"/>
      <c r="E1" s="233"/>
      <c r="F1" s="233"/>
      <c r="G1" s="233" t="s">
        <v>218</v>
      </c>
      <c r="H1" s="233"/>
      <c r="I1" s="233"/>
      <c r="J1" s="233"/>
    </row>
    <row r="2" spans="1:18" s="6" customFormat="1">
      <c r="A2" s="16" t="s">
        <v>23</v>
      </c>
      <c r="B2" s="16" t="s">
        <v>31</v>
      </c>
      <c r="C2" s="87" t="s">
        <v>32</v>
      </c>
      <c r="D2" s="87"/>
      <c r="E2" s="87"/>
      <c r="F2" s="16" t="s">
        <v>33</v>
      </c>
      <c r="G2" s="232" t="s">
        <v>34</v>
      </c>
      <c r="H2" s="232"/>
      <c r="I2" s="232"/>
      <c r="J2" s="16" t="s">
        <v>46</v>
      </c>
      <c r="K2" s="16" t="s">
        <v>35</v>
      </c>
      <c r="L2" s="16" t="s">
        <v>36</v>
      </c>
      <c r="M2" s="16" t="s">
        <v>51</v>
      </c>
      <c r="N2" s="16" t="s">
        <v>52</v>
      </c>
      <c r="O2" s="16" t="s">
        <v>37</v>
      </c>
      <c r="P2" s="16" t="s">
        <v>38</v>
      </c>
      <c r="Q2" s="16" t="s">
        <v>18</v>
      </c>
      <c r="R2" s="16" t="s">
        <v>106</v>
      </c>
    </row>
    <row r="3" spans="1:18" s="6" customFormat="1" ht="14.25" customHeight="1">
      <c r="A3" s="122" t="s">
        <v>208</v>
      </c>
      <c r="B3" s="122" t="s">
        <v>112</v>
      </c>
      <c r="C3" s="123" t="s">
        <v>113</v>
      </c>
      <c r="D3" s="123">
        <v>14</v>
      </c>
      <c r="E3" s="123" t="s">
        <v>105</v>
      </c>
      <c r="F3" s="201">
        <v>21304</v>
      </c>
      <c r="G3" s="123" t="s">
        <v>113</v>
      </c>
      <c r="H3" s="123">
        <v>15</v>
      </c>
      <c r="I3" s="123" t="s">
        <v>102</v>
      </c>
      <c r="J3" s="201">
        <v>22615</v>
      </c>
      <c r="K3" s="161">
        <v>44412</v>
      </c>
      <c r="L3" s="161">
        <v>44777</v>
      </c>
      <c r="M3" s="123">
        <v>22</v>
      </c>
      <c r="N3" s="123">
        <v>4</v>
      </c>
      <c r="O3" s="88">
        <f>SUM(F3/26)*M3</f>
        <v>18026.461538461539</v>
      </c>
      <c r="P3" s="86">
        <f>SUM(J3/26)*N3</f>
        <v>3479.2307692307691</v>
      </c>
      <c r="Q3" s="86">
        <f>SUM(O3:P3)</f>
        <v>21505.692307692309</v>
      </c>
      <c r="R3" s="86">
        <f>+Q3-F3</f>
        <v>201.69230769230853</v>
      </c>
    </row>
    <row r="4" spans="1:18" s="6" customFormat="1" ht="14.25">
      <c r="A4" s="122" t="s">
        <v>221</v>
      </c>
      <c r="B4" s="157" t="s">
        <v>114</v>
      </c>
      <c r="C4" s="123" t="s">
        <v>209</v>
      </c>
      <c r="D4" s="123">
        <v>2</v>
      </c>
      <c r="E4" s="123" t="s">
        <v>105</v>
      </c>
      <c r="F4" s="201">
        <v>11591</v>
      </c>
      <c r="G4" s="123" t="s">
        <v>209</v>
      </c>
      <c r="H4" s="123">
        <v>3</v>
      </c>
      <c r="I4" s="123" t="s">
        <v>103</v>
      </c>
      <c r="J4" s="201">
        <v>12183</v>
      </c>
      <c r="K4" s="161">
        <v>44425</v>
      </c>
      <c r="L4" s="161">
        <v>44790</v>
      </c>
      <c r="M4" s="123">
        <v>0</v>
      </c>
      <c r="N4" s="123">
        <v>26</v>
      </c>
      <c r="O4" s="89">
        <f t="shared" ref="O4:O13" si="0">SUM(F4/26)*M4</f>
        <v>0</v>
      </c>
      <c r="P4" s="44">
        <f t="shared" ref="P4:P13" si="1">SUM(J4/26)*N4</f>
        <v>12183</v>
      </c>
      <c r="Q4" s="44">
        <f t="shared" ref="Q4:Q14" si="2">SUM(O4:P4)</f>
        <v>12183</v>
      </c>
      <c r="R4" s="124">
        <f t="shared" ref="R4:R14" si="3">+Q4-F4</f>
        <v>592</v>
      </c>
    </row>
    <row r="5" spans="1:18" s="6" customFormat="1" ht="14.25">
      <c r="A5" s="157" t="s">
        <v>210</v>
      </c>
      <c r="B5" s="157" t="s">
        <v>118</v>
      </c>
      <c r="C5" s="117" t="s">
        <v>102</v>
      </c>
      <c r="D5" s="117">
        <v>7</v>
      </c>
      <c r="E5" s="117" t="s">
        <v>105</v>
      </c>
      <c r="F5" s="118">
        <v>6529</v>
      </c>
      <c r="G5" s="117" t="s">
        <v>102</v>
      </c>
      <c r="H5" s="117">
        <v>8</v>
      </c>
      <c r="I5" s="117" t="s">
        <v>102</v>
      </c>
      <c r="J5" s="118">
        <v>6930</v>
      </c>
      <c r="K5" s="161">
        <v>44273</v>
      </c>
      <c r="L5" s="161">
        <v>44638</v>
      </c>
      <c r="M5" s="123">
        <v>12</v>
      </c>
      <c r="N5" s="123">
        <v>14</v>
      </c>
      <c r="O5" s="89">
        <f t="shared" ref="O5:O9" si="4">SUM(F5/26)*M5</f>
        <v>3013.3846153846152</v>
      </c>
      <c r="P5" s="44">
        <f t="shared" ref="P5:P9" si="5">SUM(J5/26)*N5</f>
        <v>3731.5384615384619</v>
      </c>
      <c r="Q5" s="44">
        <f t="shared" ref="Q5:Q9" si="6">SUM(O5:P5)</f>
        <v>6744.9230769230771</v>
      </c>
      <c r="R5" s="124">
        <f t="shared" ref="R5:R10" si="7">+Q5-F5</f>
        <v>215.92307692307713</v>
      </c>
    </row>
    <row r="6" spans="1:18" s="6" customFormat="1" ht="14.25">
      <c r="A6" s="157" t="s">
        <v>117</v>
      </c>
      <c r="B6" s="157" t="s">
        <v>202</v>
      </c>
      <c r="C6" s="117" t="s">
        <v>104</v>
      </c>
      <c r="D6" s="117">
        <v>20</v>
      </c>
      <c r="E6" s="117" t="s">
        <v>104</v>
      </c>
      <c r="F6" s="118">
        <v>11849</v>
      </c>
      <c r="G6" s="117" t="s">
        <v>104</v>
      </c>
      <c r="H6" s="117">
        <v>20</v>
      </c>
      <c r="I6" s="117" t="s">
        <v>104</v>
      </c>
      <c r="J6" s="118">
        <v>11849</v>
      </c>
      <c r="K6" s="161">
        <v>44431</v>
      </c>
      <c r="L6" s="161">
        <v>44796</v>
      </c>
      <c r="M6" s="123">
        <v>23</v>
      </c>
      <c r="N6" s="123">
        <v>3</v>
      </c>
      <c r="O6" s="89">
        <f t="shared" si="4"/>
        <v>10481.807692307691</v>
      </c>
      <c r="P6" s="44">
        <f t="shared" si="5"/>
        <v>1367.1923076923076</v>
      </c>
      <c r="Q6" s="44">
        <f t="shared" si="6"/>
        <v>11849</v>
      </c>
      <c r="R6" s="124">
        <f t="shared" si="7"/>
        <v>0</v>
      </c>
    </row>
    <row r="7" spans="1:18" s="6" customFormat="1" ht="14.25">
      <c r="A7" s="157" t="s">
        <v>219</v>
      </c>
      <c r="B7" s="157" t="s">
        <v>118</v>
      </c>
      <c r="C7" s="117"/>
      <c r="D7" s="117"/>
      <c r="E7" s="117"/>
      <c r="F7" s="118">
        <v>6240</v>
      </c>
      <c r="G7" s="117"/>
      <c r="H7" s="117"/>
      <c r="I7" s="117"/>
      <c r="J7" s="118">
        <v>6240</v>
      </c>
      <c r="K7" s="161">
        <v>44399</v>
      </c>
      <c r="L7" s="161">
        <v>44764</v>
      </c>
      <c r="M7" s="123">
        <v>21</v>
      </c>
      <c r="N7" s="123">
        <v>5</v>
      </c>
      <c r="O7" s="89">
        <f t="shared" si="4"/>
        <v>5040</v>
      </c>
      <c r="P7" s="44">
        <f t="shared" si="5"/>
        <v>1200</v>
      </c>
      <c r="Q7" s="44">
        <f t="shared" si="6"/>
        <v>6240</v>
      </c>
      <c r="R7" s="124">
        <f t="shared" si="7"/>
        <v>0</v>
      </c>
    </row>
    <row r="8" spans="1:18" s="6" customFormat="1" ht="14.25">
      <c r="A8" s="158" t="s">
        <v>120</v>
      </c>
      <c r="B8" s="157" t="s">
        <v>118</v>
      </c>
      <c r="C8" s="117" t="s">
        <v>102</v>
      </c>
      <c r="D8" s="117">
        <v>20</v>
      </c>
      <c r="E8" s="117" t="s">
        <v>104</v>
      </c>
      <c r="F8" s="118">
        <v>11285</v>
      </c>
      <c r="G8" s="117" t="s">
        <v>102</v>
      </c>
      <c r="H8" s="117">
        <v>20</v>
      </c>
      <c r="I8" s="117" t="s">
        <v>104</v>
      </c>
      <c r="J8" s="118">
        <v>11285</v>
      </c>
      <c r="K8" s="162">
        <v>44243</v>
      </c>
      <c r="L8" s="162">
        <v>44243</v>
      </c>
      <c r="M8" s="123">
        <v>9</v>
      </c>
      <c r="N8" s="123">
        <v>17</v>
      </c>
      <c r="O8" s="89">
        <f t="shared" si="4"/>
        <v>3906.3461538461538</v>
      </c>
      <c r="P8" s="44">
        <f t="shared" si="5"/>
        <v>7378.6538461538466</v>
      </c>
      <c r="Q8" s="44">
        <f t="shared" si="6"/>
        <v>11285</v>
      </c>
      <c r="R8" s="124">
        <f t="shared" si="7"/>
        <v>0</v>
      </c>
    </row>
    <row r="9" spans="1:18" s="6" customFormat="1" ht="14.25">
      <c r="A9" s="157" t="s">
        <v>214</v>
      </c>
      <c r="B9" s="157" t="s">
        <v>118</v>
      </c>
      <c r="C9" s="117" t="s">
        <v>102</v>
      </c>
      <c r="D9" s="117">
        <v>4</v>
      </c>
      <c r="E9" s="117" t="s">
        <v>102</v>
      </c>
      <c r="F9" s="118">
        <v>5910</v>
      </c>
      <c r="G9" s="117" t="s">
        <v>102</v>
      </c>
      <c r="H9" s="117">
        <v>5</v>
      </c>
      <c r="I9" s="117" t="s">
        <v>104</v>
      </c>
      <c r="J9" s="118">
        <v>6212</v>
      </c>
      <c r="K9" s="161">
        <v>44488</v>
      </c>
      <c r="L9" s="161">
        <v>44853</v>
      </c>
      <c r="M9" s="123">
        <v>1</v>
      </c>
      <c r="N9" s="123">
        <v>25</v>
      </c>
      <c r="O9" s="89">
        <f t="shared" si="4"/>
        <v>227.30769230769232</v>
      </c>
      <c r="P9" s="44">
        <f t="shared" si="5"/>
        <v>5973.0769230769238</v>
      </c>
      <c r="Q9" s="44">
        <f t="shared" si="6"/>
        <v>6200.3846153846162</v>
      </c>
      <c r="R9" s="124">
        <f t="shared" si="7"/>
        <v>290.38461538461615</v>
      </c>
    </row>
    <row r="10" spans="1:18" s="6" customFormat="1" ht="14.25">
      <c r="A10" s="157" t="s">
        <v>215</v>
      </c>
      <c r="B10" s="157" t="s">
        <v>118</v>
      </c>
      <c r="C10" s="117" t="s">
        <v>102</v>
      </c>
      <c r="D10" s="117">
        <v>4</v>
      </c>
      <c r="E10" s="117" t="s">
        <v>102</v>
      </c>
      <c r="F10" s="118">
        <v>5910</v>
      </c>
      <c r="G10" s="117" t="s">
        <v>102</v>
      </c>
      <c r="H10" s="117">
        <v>5</v>
      </c>
      <c r="I10" s="117" t="s">
        <v>104</v>
      </c>
      <c r="J10" s="118">
        <v>6212</v>
      </c>
      <c r="K10" s="161">
        <v>44488</v>
      </c>
      <c r="L10" s="161">
        <v>44853</v>
      </c>
      <c r="M10" s="123">
        <v>1</v>
      </c>
      <c r="N10" s="123">
        <v>25</v>
      </c>
      <c r="O10" s="89">
        <f t="shared" si="0"/>
        <v>227.30769230769232</v>
      </c>
      <c r="P10" s="44">
        <f t="shared" si="1"/>
        <v>5973.0769230769238</v>
      </c>
      <c r="Q10" s="44">
        <f t="shared" si="2"/>
        <v>6200.3846153846162</v>
      </c>
      <c r="R10" s="124">
        <f t="shared" si="7"/>
        <v>290.38461538461615</v>
      </c>
    </row>
    <row r="11" spans="1:18" s="6" customFormat="1" ht="14.25">
      <c r="A11" s="157" t="s">
        <v>220</v>
      </c>
      <c r="B11" s="157" t="s">
        <v>118</v>
      </c>
      <c r="C11" s="117"/>
      <c r="D11" s="117"/>
      <c r="E11" s="117"/>
      <c r="F11" s="118">
        <v>6240</v>
      </c>
      <c r="G11" s="117"/>
      <c r="H11" s="117"/>
      <c r="I11" s="117"/>
      <c r="J11" s="118">
        <v>6240</v>
      </c>
      <c r="K11" s="161"/>
      <c r="L11" s="161"/>
      <c r="M11" s="123"/>
      <c r="N11" s="123">
        <v>26</v>
      </c>
      <c r="O11" s="89">
        <f t="shared" si="0"/>
        <v>0</v>
      </c>
      <c r="P11" s="44">
        <f t="shared" si="1"/>
        <v>6240</v>
      </c>
      <c r="Q11" s="44">
        <f t="shared" si="2"/>
        <v>6240</v>
      </c>
      <c r="R11" s="124">
        <f t="shared" si="3"/>
        <v>0</v>
      </c>
    </row>
    <row r="12" spans="1:18" s="6" customFormat="1" ht="14.25">
      <c r="A12" s="157" t="s">
        <v>216</v>
      </c>
      <c r="B12" s="157" t="s">
        <v>222</v>
      </c>
      <c r="C12" s="117"/>
      <c r="D12" s="117"/>
      <c r="E12" s="117"/>
      <c r="F12" s="118">
        <v>6240</v>
      </c>
      <c r="G12" s="117"/>
      <c r="H12" s="117"/>
      <c r="I12" s="117"/>
      <c r="J12" s="118">
        <v>6240</v>
      </c>
      <c r="K12" s="161"/>
      <c r="L12" s="161"/>
      <c r="M12" s="123"/>
      <c r="N12" s="123">
        <v>26</v>
      </c>
      <c r="O12" s="89">
        <f t="shared" si="0"/>
        <v>0</v>
      </c>
      <c r="P12" s="44">
        <f t="shared" si="1"/>
        <v>6240</v>
      </c>
      <c r="Q12" s="44">
        <f t="shared" si="2"/>
        <v>6240</v>
      </c>
      <c r="R12" s="124">
        <f t="shared" si="3"/>
        <v>0</v>
      </c>
    </row>
    <row r="13" spans="1:18" s="6" customFormat="1" ht="14.25">
      <c r="A13" s="157" t="s">
        <v>217</v>
      </c>
      <c r="B13" s="157" t="s">
        <v>222</v>
      </c>
      <c r="C13" s="123"/>
      <c r="D13" s="117"/>
      <c r="E13" s="117"/>
      <c r="F13" s="118">
        <v>6240</v>
      </c>
      <c r="G13" s="117"/>
      <c r="H13" s="117"/>
      <c r="I13" s="117"/>
      <c r="J13" s="118">
        <v>6240</v>
      </c>
      <c r="K13" s="161"/>
      <c r="L13" s="161"/>
      <c r="M13" s="123"/>
      <c r="N13" s="123">
        <v>26</v>
      </c>
      <c r="O13" s="89">
        <f t="shared" si="0"/>
        <v>0</v>
      </c>
      <c r="P13" s="44">
        <f t="shared" si="1"/>
        <v>6240</v>
      </c>
      <c r="Q13" s="44">
        <f t="shared" si="2"/>
        <v>6240</v>
      </c>
      <c r="R13" s="124">
        <f t="shared" si="3"/>
        <v>0</v>
      </c>
    </row>
    <row r="14" spans="1:18" s="6" customFormat="1" ht="14.25">
      <c r="A14" s="157" t="s">
        <v>211</v>
      </c>
      <c r="B14" s="157" t="s">
        <v>124</v>
      </c>
      <c r="C14" s="159"/>
      <c r="D14" s="117"/>
      <c r="E14" s="117"/>
      <c r="F14" s="160">
        <v>30000</v>
      </c>
      <c r="G14" s="159"/>
      <c r="H14" s="117"/>
      <c r="I14" s="117"/>
      <c r="J14" s="160">
        <v>30000</v>
      </c>
      <c r="K14" s="118"/>
      <c r="L14" s="123"/>
      <c r="M14" s="123"/>
      <c r="N14" s="118">
        <v>0</v>
      </c>
      <c r="O14" s="118">
        <v>0</v>
      </c>
      <c r="P14" s="118">
        <v>30000</v>
      </c>
      <c r="Q14" s="44">
        <f t="shared" si="2"/>
        <v>30000</v>
      </c>
      <c r="R14" s="124">
        <f t="shared" si="3"/>
        <v>0</v>
      </c>
    </row>
    <row r="15" spans="1:18" s="6" customFormat="1" ht="14.25">
      <c r="F15" s="120">
        <f>SUM(F3:F14)</f>
        <v>129338</v>
      </c>
      <c r="G15" s="121"/>
      <c r="H15" s="121"/>
      <c r="I15" s="121"/>
      <c r="J15" s="120">
        <f>SUM(J3:J14)</f>
        <v>132246</v>
      </c>
      <c r="K15" s="119"/>
      <c r="L15" s="119"/>
      <c r="M15" s="119"/>
      <c r="N15" s="119"/>
      <c r="O15" s="120">
        <f t="shared" ref="O15:R15" si="8">SUM(O3:O14)</f>
        <v>40922.61538461539</v>
      </c>
      <c r="P15" s="120">
        <f t="shared" si="8"/>
        <v>90005.769230769234</v>
      </c>
      <c r="Q15" s="120">
        <f t="shared" si="8"/>
        <v>130928.38461538461</v>
      </c>
      <c r="R15" s="120">
        <f t="shared" si="8"/>
        <v>1590.384615384618</v>
      </c>
    </row>
    <row r="16" spans="1:18" s="6" customFormat="1" ht="14.25">
      <c r="Q16" s="28"/>
    </row>
    <row r="17" spans="1:10" s="6" customFormat="1" ht="14.25">
      <c r="A17" s="6" t="s">
        <v>47</v>
      </c>
    </row>
    <row r="18" spans="1:10">
      <c r="F18" s="116"/>
      <c r="J18" s="116"/>
    </row>
    <row r="19" spans="1:10">
      <c r="B19" s="122"/>
    </row>
    <row r="20" spans="1:10">
      <c r="B20" s="122"/>
    </row>
    <row r="21" spans="1:10">
      <c r="B21" s="157"/>
    </row>
    <row r="22" spans="1:10">
      <c r="B22" s="157"/>
    </row>
    <row r="23" spans="1:10">
      <c r="B23" s="157"/>
    </row>
    <row r="24" spans="1:10">
      <c r="B24" s="158"/>
    </row>
    <row r="25" spans="1:10">
      <c r="B25" s="157"/>
    </row>
    <row r="26" spans="1:10">
      <c r="B26" s="157"/>
    </row>
    <row r="27" spans="1:10">
      <c r="B27" s="157"/>
    </row>
    <row r="28" spans="1:10">
      <c r="B28" s="157"/>
    </row>
    <row r="29" spans="1:10">
      <c r="B29" s="157"/>
    </row>
    <row r="30" spans="1:10">
      <c r="B30" s="157"/>
    </row>
  </sheetData>
  <mergeCells count="3">
    <mergeCell ref="G2:I2"/>
    <mergeCell ref="C1:F1"/>
    <mergeCell ref="G1:J1"/>
  </mergeCells>
  <phoneticPr fontId="2" type="noConversion"/>
  <pageMargins left="0.7" right="0.7" top="0.75" bottom="0.75" header="0.3" footer="0.3"/>
  <pageSetup scale="60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110" zoomScaleNormal="110" workbookViewId="0">
      <selection activeCell="E12" sqref="E12"/>
    </sheetView>
  </sheetViews>
  <sheetFormatPr defaultColWidth="8.85546875" defaultRowHeight="15"/>
  <cols>
    <col min="1" max="1" width="22.28515625" style="6" customWidth="1"/>
    <col min="2" max="2" width="13.140625" style="6" customWidth="1"/>
    <col min="3" max="3" width="12.7109375" style="6" customWidth="1"/>
    <col min="4" max="4" width="11.7109375" style="6" bestFit="1" customWidth="1"/>
    <col min="5" max="5" width="17.7109375" style="6" customWidth="1"/>
    <col min="6" max="6" width="21.7109375" style="6" customWidth="1"/>
    <col min="7" max="7" width="12.85546875" style="6" bestFit="1" customWidth="1"/>
    <col min="8" max="8" width="13.140625" style="6" customWidth="1"/>
  </cols>
  <sheetData>
    <row r="1" spans="1:15">
      <c r="A1" s="90" t="s">
        <v>80</v>
      </c>
      <c r="B1" s="91" t="s">
        <v>40</v>
      </c>
      <c r="C1" s="92" t="s">
        <v>14</v>
      </c>
      <c r="D1" s="92" t="s">
        <v>15</v>
      </c>
      <c r="E1" s="93" t="s">
        <v>16</v>
      </c>
      <c r="F1" s="93" t="s">
        <v>17</v>
      </c>
      <c r="G1" s="91" t="s">
        <v>18</v>
      </c>
    </row>
    <row r="2" spans="1:15">
      <c r="A2" s="122" t="str">
        <f>+'3.Pay Level'!A3</f>
        <v>Lorenzo Rull</v>
      </c>
      <c r="B2" s="129">
        <f>IF(('3.Pay Level'!Q3*0.075)&gt;=2400,2400,'3.Pay Level'!Q3*0.075)</f>
        <v>1612.926923076923</v>
      </c>
      <c r="C2" s="129">
        <f>SUM('3.Pay Level'!Q3*0.03)</f>
        <v>645.17076923076922</v>
      </c>
      <c r="D2" s="126">
        <v>7200</v>
      </c>
      <c r="E2" s="118">
        <f>245.96*2</f>
        <v>491.92</v>
      </c>
      <c r="F2" s="130">
        <f>SUM(('3.Pay Level'!Q3*2)*0.00038)*26</f>
        <v>424.95248000000004</v>
      </c>
      <c r="G2" s="126">
        <f>SUM(B2:F2)</f>
        <v>10374.970172307692</v>
      </c>
    </row>
    <row r="3" spans="1:15">
      <c r="A3" s="122" t="str">
        <f>+'3.Pay Level'!A4</f>
        <v>Vacant(SC-Melrose)</v>
      </c>
      <c r="B3" s="129">
        <f>IF(('3.Pay Level'!Q4*0.075)&gt;=2400,2400,'3.Pay Level'!Q4*0.075)</f>
        <v>913.72500000000002</v>
      </c>
      <c r="C3" s="129">
        <f>SUM('3.Pay Level'!Q4*0.03)</f>
        <v>365.49</v>
      </c>
      <c r="D3" s="126"/>
      <c r="E3" s="118">
        <v>737.88</v>
      </c>
      <c r="F3" s="130">
        <f>SUM(('3.Pay Level'!Q4*2)*0.00038)*26</f>
        <v>240.73608000000002</v>
      </c>
      <c r="G3" s="126">
        <f t="shared" ref="G3:G13" si="0">SUM(B3:F3)</f>
        <v>2257.8310800000004</v>
      </c>
    </row>
    <row r="4" spans="1:15">
      <c r="A4" s="122" t="str">
        <f>+'3.Pay Level'!A5</f>
        <v>Terina Tim</v>
      </c>
      <c r="B4" s="129">
        <f>IF(('3.Pay Level'!Q5*0.075)&gt;=2400,2400,'3.Pay Level'!Q5*0.075)</f>
        <v>505.86923076923074</v>
      </c>
      <c r="C4" s="129">
        <f>SUM('3.Pay Level'!Q5*0.03)</f>
        <v>202.34769230769231</v>
      </c>
      <c r="D4" s="126"/>
      <c r="E4" s="118">
        <v>737.88</v>
      </c>
      <c r="F4" s="130">
        <f>SUM(('3.Pay Level'!Q5*2)*0.00038)*26</f>
        <v>133.27968000000001</v>
      </c>
      <c r="G4" s="126">
        <f t="shared" si="0"/>
        <v>1579.3766030769232</v>
      </c>
    </row>
    <row r="5" spans="1:15">
      <c r="A5" s="122" t="str">
        <f>+'3.Pay Level'!A6</f>
        <v>M.Baker</v>
      </c>
      <c r="B5" s="129">
        <f>IF(('3.Pay Level'!Q6*0.075)&gt;=2400,2400,'3.Pay Level'!Q6*0.075)</f>
        <v>888.67499999999995</v>
      </c>
      <c r="C5" s="129">
        <f>SUM('3.Pay Level'!Q6*0.03)</f>
        <v>355.46999999999997</v>
      </c>
      <c r="D5" s="126"/>
      <c r="E5" s="118">
        <v>983.84</v>
      </c>
      <c r="F5" s="130">
        <f>SUM(('3.Pay Level'!Q6*2)*0.00038)*26</f>
        <v>234.13624000000002</v>
      </c>
      <c r="G5" s="126">
        <f t="shared" si="0"/>
        <v>2462.1212399999999</v>
      </c>
    </row>
    <row r="6" spans="1:15">
      <c r="A6" s="122" t="str">
        <f>+'3.Pay Level'!A7</f>
        <v>Vacant(Rocky)</v>
      </c>
      <c r="B6" s="129">
        <f>IF(('3.Pay Level'!Q7*0.075)&gt;=2400,2400,'3.Pay Level'!Q7*0.075)</f>
        <v>468</v>
      </c>
      <c r="C6" s="129">
        <f>SUM('3.Pay Level'!Q7*0.03)</f>
        <v>187.2</v>
      </c>
      <c r="D6" s="126"/>
      <c r="E6" s="118">
        <v>803.4</v>
      </c>
      <c r="F6" s="130">
        <f>SUM(('3.Pay Level'!Q7*2)*0.00038)*26</f>
        <v>123.30240000000001</v>
      </c>
      <c r="G6" s="126">
        <f t="shared" si="0"/>
        <v>1581.9023999999999</v>
      </c>
    </row>
    <row r="7" spans="1:15">
      <c r="A7" s="122" t="str">
        <f>+'3.Pay Level'!A8</f>
        <v>P. Primo</v>
      </c>
      <c r="B7" s="129">
        <f>IF(('3.Pay Level'!Q8*0.075)&gt;=2400,2400,'3.Pay Level'!Q8*0.075)</f>
        <v>846.375</v>
      </c>
      <c r="C7" s="129">
        <f>SUM('3.Pay Level'!Q8*0.03)</f>
        <v>338.55</v>
      </c>
      <c r="D7" s="126"/>
      <c r="E7" s="118">
        <v>984</v>
      </c>
      <c r="F7" s="130">
        <f>SUM(('3.Pay Level'!Q8*2)*0.00038)*26</f>
        <v>222.99160000000003</v>
      </c>
      <c r="G7" s="126">
        <f t="shared" si="0"/>
        <v>2391.9166</v>
      </c>
      <c r="H7" s="33"/>
    </row>
    <row r="8" spans="1:15">
      <c r="A8" s="122" t="str">
        <f>+'3.Pay Level'!A9</f>
        <v>Immy Kapiriel</v>
      </c>
      <c r="B8" s="129">
        <f>IF(('3.Pay Level'!Q9*0.075)&gt;=2400,2400,'3.Pay Level'!Q9*0.075)</f>
        <v>465.02884615384619</v>
      </c>
      <c r="C8" s="129">
        <f>SUM('3.Pay Level'!Q9*0.03)</f>
        <v>186.01153846153846</v>
      </c>
      <c r="D8" s="126"/>
      <c r="E8" s="118">
        <v>737.88</v>
      </c>
      <c r="F8" s="130">
        <f>SUM(('3.Pay Level'!Q9*2)*0.00038)*26</f>
        <v>122.51960000000003</v>
      </c>
      <c r="G8" s="126">
        <f t="shared" si="0"/>
        <v>1511.4399846153847</v>
      </c>
      <c r="H8" s="33"/>
    </row>
    <row r="9" spans="1:15">
      <c r="A9" s="122" t="str">
        <f>+'3.Pay Level'!A10</f>
        <v>Freelyn Albert</v>
      </c>
      <c r="B9" s="129">
        <f>IF(('3.Pay Level'!Q10*0.075)&gt;=2400,2400,'3.Pay Level'!Q10*0.075)</f>
        <v>465.02884615384619</v>
      </c>
      <c r="C9" s="129">
        <f>SUM('3.Pay Level'!Q10*0.03)</f>
        <v>186.01153846153846</v>
      </c>
      <c r="D9" s="126"/>
      <c r="E9" s="118">
        <v>737.88</v>
      </c>
      <c r="F9" s="130">
        <f>SUM(('3.Pay Level'!Q10*2)*0.00038)*26</f>
        <v>122.51960000000003</v>
      </c>
      <c r="G9" s="126">
        <f t="shared" si="0"/>
        <v>1511.4399846153847</v>
      </c>
      <c r="H9" s="33"/>
    </row>
    <row r="10" spans="1:15">
      <c r="A10" s="122" t="str">
        <f>+'3.Pay Level'!A11</f>
        <v>Vacant(Mary)</v>
      </c>
      <c r="B10" s="129">
        <f>IF(('3.Pay Level'!Q11*0.075)&gt;=2400,2400,'3.Pay Level'!Q11*0.075)</f>
        <v>468</v>
      </c>
      <c r="C10" s="129">
        <f>SUM('3.Pay Level'!Q11*0.03)</f>
        <v>187.2</v>
      </c>
      <c r="D10" s="126"/>
      <c r="E10" s="118">
        <v>737.88</v>
      </c>
      <c r="F10" s="130">
        <f>SUM(('3.Pay Level'!Q11*2)*0.00038)*26</f>
        <v>123.30240000000001</v>
      </c>
      <c r="G10" s="126">
        <f t="shared" si="0"/>
        <v>1516.3824</v>
      </c>
      <c r="H10" s="33"/>
    </row>
    <row r="11" spans="1:15">
      <c r="A11" s="122" t="str">
        <f>+'3.Pay Level'!A12</f>
        <v>Loriano Kiliopas</v>
      </c>
      <c r="B11" s="129">
        <f>IF(('3.Pay Level'!Q12*0.075)&gt;=2400,2400,'3.Pay Level'!Q12*0.075)</f>
        <v>468</v>
      </c>
      <c r="C11" s="129">
        <f>SUM('3.Pay Level'!Q12*0.03)</f>
        <v>187.2</v>
      </c>
      <c r="D11" s="126"/>
      <c r="E11" s="118">
        <v>737.88</v>
      </c>
      <c r="F11" s="130">
        <f>SUM(('3.Pay Level'!Q12*2)*0.00038)*26</f>
        <v>123.30240000000001</v>
      </c>
      <c r="G11" s="126">
        <f t="shared" si="0"/>
        <v>1516.3824</v>
      </c>
      <c r="H11" s="33"/>
    </row>
    <row r="12" spans="1:15">
      <c r="A12" s="122" t="str">
        <f>+'3.Pay Level'!A13</f>
        <v>Berlino Panuelo</v>
      </c>
      <c r="B12" s="129">
        <f>IF(('3.Pay Level'!Q13*0.075)&gt;=2400,2400,'3.Pay Level'!Q13*0.075)</f>
        <v>468</v>
      </c>
      <c r="C12" s="129">
        <f>SUM('3.Pay Level'!Q13*0.03)</f>
        <v>187.2</v>
      </c>
      <c r="D12" s="126"/>
      <c r="E12" s="118">
        <v>737.88</v>
      </c>
      <c r="F12" s="130">
        <f>SUM(('3.Pay Level'!Q13*2)*0.00038)*26</f>
        <v>123.30240000000001</v>
      </c>
      <c r="G12" s="126">
        <f t="shared" si="0"/>
        <v>1516.3824</v>
      </c>
      <c r="H12" s="33"/>
    </row>
    <row r="13" spans="1:15">
      <c r="A13" s="157"/>
      <c r="B13" s="129">
        <f>IF(('3.Pay Level'!Q14*0.075)&gt;=2400,2400,'3.Pay Level'!Q14*0.075)</f>
        <v>2250</v>
      </c>
      <c r="C13" s="129">
        <v>0</v>
      </c>
      <c r="D13" s="126"/>
      <c r="E13" s="118">
        <v>0</v>
      </c>
      <c r="F13" s="130">
        <v>0</v>
      </c>
      <c r="G13" s="126">
        <f t="shared" si="0"/>
        <v>2250</v>
      </c>
      <c r="H13" s="33"/>
    </row>
    <row r="14" spans="1:15" ht="15.75" thickBot="1">
      <c r="A14" s="2"/>
      <c r="B14" s="125">
        <f>SUM(B2:B13)</f>
        <v>9819.6288461538461</v>
      </c>
      <c r="C14" s="125">
        <f t="shared" ref="C14:G14" si="1">SUM(C2:C13)</f>
        <v>3027.8515384615375</v>
      </c>
      <c r="D14" s="125">
        <f t="shared" si="1"/>
        <v>7200</v>
      </c>
      <c r="E14" s="125">
        <f t="shared" si="1"/>
        <v>8428.32</v>
      </c>
      <c r="F14" s="125">
        <f t="shared" si="1"/>
        <v>1994.3448800000003</v>
      </c>
      <c r="G14" s="125">
        <f t="shared" si="1"/>
        <v>30470.145264615381</v>
      </c>
    </row>
    <row r="15" spans="1:15" ht="15.75" thickTop="1"/>
    <row r="16" spans="1:15">
      <c r="O16" s="128"/>
    </row>
    <row r="19" spans="1:1">
      <c r="A19" s="5" t="s">
        <v>66</v>
      </c>
    </row>
    <row r="20" spans="1:1">
      <c r="A20" s="6" t="s">
        <v>91</v>
      </c>
    </row>
    <row r="21" spans="1:1">
      <c r="A21" s="6" t="s">
        <v>64</v>
      </c>
    </row>
    <row r="22" spans="1:1">
      <c r="A22" s="6" t="s">
        <v>206</v>
      </c>
    </row>
    <row r="23" spans="1:1">
      <c r="A23" s="6" t="s">
        <v>70</v>
      </c>
    </row>
    <row r="35" spans="5:5">
      <c r="E35" s="127"/>
    </row>
  </sheetData>
  <dataConsolidate/>
  <phoneticPr fontId="2" type="noConversion"/>
  <pageMargins left="0.7" right="0.7" top="0.75" bottom="0.75" header="0.3" footer="0.3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opLeftCell="A33" workbookViewId="0">
      <selection activeCell="B49" sqref="B49"/>
    </sheetView>
  </sheetViews>
  <sheetFormatPr defaultColWidth="8.85546875" defaultRowHeight="15"/>
  <cols>
    <col min="1" max="1" width="28.28515625" style="6" customWidth="1"/>
    <col min="2" max="2" width="14" style="6" customWidth="1"/>
    <col min="3" max="3" width="16.28515625" style="6" customWidth="1"/>
    <col min="4" max="4" width="17.28515625" style="6" customWidth="1"/>
    <col min="5" max="5" width="11.42578125" style="6" bestFit="1" customWidth="1"/>
    <col min="6" max="6" width="12.7109375" style="44" customWidth="1"/>
    <col min="7" max="7" width="10.42578125" style="6" customWidth="1"/>
    <col min="8" max="8" width="11.5703125" style="44" bestFit="1" customWidth="1"/>
    <col min="9" max="9" width="8.85546875" style="6"/>
    <col min="10" max="10" width="11.7109375" style="44" customWidth="1"/>
    <col min="11" max="11" width="10" style="6" bestFit="1" customWidth="1"/>
    <col min="12" max="12" width="12.7109375" style="6" bestFit="1" customWidth="1"/>
    <col min="13" max="13" width="8.85546875" style="13"/>
    <col min="14" max="14" width="8.85546875" style="6"/>
    <col min="15" max="15" width="11.7109375" style="6" customWidth="1"/>
    <col min="16" max="27" width="8.85546875" style="6"/>
  </cols>
  <sheetData>
    <row r="1" spans="1:15" ht="15.75">
      <c r="A1" s="12" t="s">
        <v>4</v>
      </c>
      <c r="B1" s="29"/>
      <c r="C1" s="29"/>
      <c r="D1" s="13"/>
      <c r="E1" s="8"/>
      <c r="F1" s="64"/>
      <c r="G1" s="8"/>
      <c r="H1" s="64"/>
      <c r="I1" s="13"/>
      <c r="J1" s="67"/>
      <c r="L1" s="13"/>
    </row>
    <row r="2" spans="1:15">
      <c r="A2" s="14"/>
      <c r="B2" s="236" t="s">
        <v>29</v>
      </c>
      <c r="C2" s="236"/>
      <c r="D2" s="236"/>
      <c r="E2" s="148" t="s">
        <v>107</v>
      </c>
      <c r="F2" s="149">
        <v>1.1000000000000001</v>
      </c>
      <c r="G2" s="148" t="s">
        <v>107</v>
      </c>
      <c r="H2" s="149">
        <v>2.1</v>
      </c>
      <c r="I2" s="148" t="s">
        <v>107</v>
      </c>
      <c r="J2" s="149">
        <v>3.1</v>
      </c>
      <c r="K2" s="234" t="s">
        <v>18</v>
      </c>
      <c r="L2" s="235"/>
    </row>
    <row r="3" spans="1:15">
      <c r="A3" s="17" t="s">
        <v>54</v>
      </c>
      <c r="B3" s="18" t="s">
        <v>48</v>
      </c>
      <c r="C3" s="19" t="s">
        <v>69</v>
      </c>
      <c r="D3" s="147" t="s">
        <v>30</v>
      </c>
      <c r="E3" s="20" t="s">
        <v>55</v>
      </c>
      <c r="F3" s="65" t="s">
        <v>56</v>
      </c>
      <c r="G3" s="20" t="s">
        <v>55</v>
      </c>
      <c r="H3" s="65" t="s">
        <v>56</v>
      </c>
      <c r="I3" s="145" t="s">
        <v>55</v>
      </c>
      <c r="J3" s="146" t="s">
        <v>56</v>
      </c>
      <c r="K3" s="22" t="s">
        <v>55</v>
      </c>
      <c r="L3" s="72" t="s">
        <v>56</v>
      </c>
    </row>
    <row r="4" spans="1:15">
      <c r="A4" s="122" t="s">
        <v>207</v>
      </c>
      <c r="B4" s="51">
        <f>SUM('3.Pay Level'!F3)</f>
        <v>21304</v>
      </c>
      <c r="C4" s="51">
        <f>SUM('3.Pay Level'!Q3)</f>
        <v>21505.692307692309</v>
      </c>
      <c r="D4" s="23">
        <f>C4+'4.Fringe_Benefits'!G2</f>
        <v>31880.662479999999</v>
      </c>
      <c r="E4" s="24">
        <v>25</v>
      </c>
      <c r="F4" s="66">
        <f>SUM(D4*E4%)</f>
        <v>7970.1656199999998</v>
      </c>
      <c r="G4" s="24">
        <v>25</v>
      </c>
      <c r="H4" s="66">
        <f>G4*$D4/100</f>
        <v>7970.1656199999989</v>
      </c>
      <c r="I4" s="24">
        <v>50</v>
      </c>
      <c r="J4" s="66">
        <f>I4*$D4/100</f>
        <v>15940.331239999998</v>
      </c>
      <c r="K4" s="25">
        <f>+E4+G4+I4</f>
        <v>100</v>
      </c>
      <c r="L4" s="67">
        <f>+F4+H4+J4</f>
        <v>31880.662479999999</v>
      </c>
    </row>
    <row r="5" spans="1:15">
      <c r="A5" s="122" t="s">
        <v>115</v>
      </c>
      <c r="B5" s="51">
        <f>SUM('3.Pay Level'!F4)</f>
        <v>11591</v>
      </c>
      <c r="C5" s="51">
        <f>SUM('3.Pay Level'!Q4)</f>
        <v>12183</v>
      </c>
      <c r="D5" s="23">
        <f>C5+'4.Fringe_Benefits'!G3</f>
        <v>14440.83108</v>
      </c>
      <c r="E5" s="24">
        <v>25</v>
      </c>
      <c r="F5" s="66">
        <f>E5*$D5/100</f>
        <v>3610.20777</v>
      </c>
      <c r="G5" s="24">
        <v>60</v>
      </c>
      <c r="H5" s="66">
        <f>G5*$D5/100</f>
        <v>8664.4986480000007</v>
      </c>
      <c r="I5" s="24">
        <v>15</v>
      </c>
      <c r="J5" s="66">
        <f>I5*$D5/100</f>
        <v>2166.1246620000002</v>
      </c>
      <c r="K5" s="25">
        <f t="shared" ref="K5:K15" si="0">+E5+G5+I5</f>
        <v>100</v>
      </c>
      <c r="L5" s="67">
        <f t="shared" ref="L5:L15" si="1">+F5+H5+J5</f>
        <v>14440.831080000002</v>
      </c>
    </row>
    <row r="6" spans="1:15">
      <c r="A6" s="157" t="s">
        <v>116</v>
      </c>
      <c r="B6" s="51">
        <f>SUM('3.Pay Level'!F5)</f>
        <v>6529</v>
      </c>
      <c r="C6" s="51">
        <f>SUM('3.Pay Level'!Q5)</f>
        <v>6744.9230769230771</v>
      </c>
      <c r="D6" s="23">
        <f>C6+'4.Fringe_Benefits'!G4</f>
        <v>8324.2996800000001</v>
      </c>
      <c r="E6" s="24">
        <v>70</v>
      </c>
      <c r="F6" s="66">
        <f>E6*$D6/100</f>
        <v>5827.0097759999999</v>
      </c>
      <c r="G6" s="24">
        <v>30</v>
      </c>
      <c r="H6" s="66">
        <f>G6*$D6/100</f>
        <v>2497.2899040000002</v>
      </c>
      <c r="I6" s="24">
        <v>0</v>
      </c>
      <c r="J6" s="66">
        <f t="shared" ref="J6:J15" si="2">I6*$D6/100</f>
        <v>0</v>
      </c>
      <c r="K6" s="25">
        <f t="shared" si="0"/>
        <v>100</v>
      </c>
      <c r="L6" s="67">
        <f t="shared" si="1"/>
        <v>8324.2996800000001</v>
      </c>
    </row>
    <row r="7" spans="1:15">
      <c r="A7" s="157" t="s">
        <v>117</v>
      </c>
      <c r="B7" s="51">
        <f>SUM('3.Pay Level'!F6)</f>
        <v>11849</v>
      </c>
      <c r="C7" s="51">
        <f>SUM('3.Pay Level'!Q6)</f>
        <v>11849</v>
      </c>
      <c r="D7" s="23">
        <f>C7+'4.Fringe_Benefits'!G5</f>
        <v>14311.12124</v>
      </c>
      <c r="E7" s="24">
        <v>70</v>
      </c>
      <c r="F7" s="66">
        <f>E7*$D7/100</f>
        <v>10017.784868000001</v>
      </c>
      <c r="G7" s="24">
        <v>30</v>
      </c>
      <c r="H7" s="66">
        <f t="shared" ref="H7:H15" si="3">G7*$D7/100</f>
        <v>4293.3363719999998</v>
      </c>
      <c r="I7" s="24">
        <v>0</v>
      </c>
      <c r="J7" s="66">
        <f t="shared" si="2"/>
        <v>0</v>
      </c>
      <c r="K7" s="25">
        <f t="shared" si="0"/>
        <v>100</v>
      </c>
      <c r="L7" s="67">
        <f t="shared" si="1"/>
        <v>14311.12124</v>
      </c>
    </row>
    <row r="8" spans="1:15">
      <c r="A8" s="157" t="s">
        <v>119</v>
      </c>
      <c r="B8" s="51">
        <f>SUM('3.Pay Level'!F7)</f>
        <v>6240</v>
      </c>
      <c r="C8" s="51">
        <f>SUM('3.Pay Level'!Q7)</f>
        <v>6240</v>
      </c>
      <c r="D8" s="23">
        <f>C8+'4.Fringe_Benefits'!G6</f>
        <v>7821.9023999999999</v>
      </c>
      <c r="E8" s="24">
        <v>70</v>
      </c>
      <c r="F8" s="66">
        <f>E8*$D8/100</f>
        <v>5475.3316799999993</v>
      </c>
      <c r="G8" s="24">
        <v>30</v>
      </c>
      <c r="H8" s="66">
        <f t="shared" si="3"/>
        <v>2346.5707199999997</v>
      </c>
      <c r="I8" s="24">
        <v>0</v>
      </c>
      <c r="J8" s="66">
        <f t="shared" si="2"/>
        <v>0</v>
      </c>
      <c r="K8" s="25">
        <f t="shared" si="0"/>
        <v>100</v>
      </c>
      <c r="L8" s="67">
        <f t="shared" si="1"/>
        <v>7821.902399999999</v>
      </c>
    </row>
    <row r="9" spans="1:15">
      <c r="A9" s="158" t="s">
        <v>120</v>
      </c>
      <c r="B9" s="51">
        <f>SUM('3.Pay Level'!F8)</f>
        <v>11285</v>
      </c>
      <c r="C9" s="51">
        <f>SUM('3.Pay Level'!Q8)</f>
        <v>11285</v>
      </c>
      <c r="D9" s="23">
        <f>C9+'4.Fringe_Benefits'!G7</f>
        <v>13676.9166</v>
      </c>
      <c r="E9" s="24">
        <v>70</v>
      </c>
      <c r="F9" s="66">
        <f t="shared" ref="F9:F13" si="4">E9*$D9/100</f>
        <v>9573.8416199999992</v>
      </c>
      <c r="G9" s="24">
        <v>30</v>
      </c>
      <c r="H9" s="66">
        <f t="shared" si="3"/>
        <v>4103.0749800000003</v>
      </c>
      <c r="I9" s="24">
        <v>0</v>
      </c>
      <c r="J9" s="66">
        <f t="shared" si="2"/>
        <v>0</v>
      </c>
      <c r="K9" s="25">
        <f t="shared" si="0"/>
        <v>100</v>
      </c>
      <c r="L9" s="67">
        <f t="shared" si="1"/>
        <v>13676.9166</v>
      </c>
    </row>
    <row r="10" spans="1:15">
      <c r="A10" s="157" t="s">
        <v>121</v>
      </c>
      <c r="B10" s="51">
        <f>SUM('3.Pay Level'!F9)</f>
        <v>5910</v>
      </c>
      <c r="C10" s="51">
        <f>SUM('3.Pay Level'!Q9)</f>
        <v>6200.3846153846162</v>
      </c>
      <c r="D10" s="23">
        <f>C10+'4.Fringe_Benefits'!G8</f>
        <v>7711.8246000000008</v>
      </c>
      <c r="E10" s="24">
        <v>70</v>
      </c>
      <c r="F10" s="66">
        <f t="shared" si="4"/>
        <v>5398.2772200000009</v>
      </c>
      <c r="G10" s="24">
        <v>30</v>
      </c>
      <c r="H10" s="66">
        <f t="shared" si="3"/>
        <v>2313.54738</v>
      </c>
      <c r="I10" s="24"/>
      <c r="J10" s="66">
        <f t="shared" si="2"/>
        <v>0</v>
      </c>
      <c r="K10" s="25">
        <f t="shared" si="0"/>
        <v>100</v>
      </c>
      <c r="L10" s="67">
        <f t="shared" si="1"/>
        <v>7711.8246000000008</v>
      </c>
    </row>
    <row r="11" spans="1:15">
      <c r="A11" s="157" t="s">
        <v>116</v>
      </c>
      <c r="B11" s="51">
        <f>SUM('3.Pay Level'!F10)</f>
        <v>5910</v>
      </c>
      <c r="C11" s="51">
        <f>SUM('3.Pay Level'!Q10)</f>
        <v>6200.3846153846162</v>
      </c>
      <c r="D11" s="23">
        <f>C11+'4.Fringe_Benefits'!G9</f>
        <v>7711.8246000000008</v>
      </c>
      <c r="E11" s="24">
        <v>70</v>
      </c>
      <c r="F11" s="66">
        <f t="shared" si="4"/>
        <v>5398.2772200000009</v>
      </c>
      <c r="G11" s="24">
        <v>30</v>
      </c>
      <c r="H11" s="66">
        <f t="shared" si="3"/>
        <v>2313.54738</v>
      </c>
      <c r="I11" s="24"/>
      <c r="J11" s="66">
        <f t="shared" si="2"/>
        <v>0</v>
      </c>
      <c r="K11" s="25">
        <f t="shared" si="0"/>
        <v>100</v>
      </c>
      <c r="L11" s="67">
        <f t="shared" si="1"/>
        <v>7711.8246000000008</v>
      </c>
    </row>
    <row r="12" spans="1:15">
      <c r="A12" s="157" t="s">
        <v>122</v>
      </c>
      <c r="B12" s="51">
        <f>SUM('3.Pay Level'!F11)</f>
        <v>6240</v>
      </c>
      <c r="C12" s="51">
        <f>SUM('3.Pay Level'!Q11)</f>
        <v>6240</v>
      </c>
      <c r="D12" s="23">
        <f>C12+'4.Fringe_Benefits'!G10</f>
        <v>7756.3824000000004</v>
      </c>
      <c r="E12" s="24">
        <v>70</v>
      </c>
      <c r="F12" s="66">
        <f t="shared" si="4"/>
        <v>5429.4676800000007</v>
      </c>
      <c r="G12" s="24">
        <v>30</v>
      </c>
      <c r="H12" s="66">
        <f t="shared" si="3"/>
        <v>2326.9147200000002</v>
      </c>
      <c r="I12" s="24">
        <v>0</v>
      </c>
      <c r="J12" s="66">
        <f t="shared" si="2"/>
        <v>0</v>
      </c>
      <c r="K12" s="25">
        <f t="shared" si="0"/>
        <v>100</v>
      </c>
      <c r="L12" s="67">
        <f t="shared" si="1"/>
        <v>7756.3824000000004</v>
      </c>
    </row>
    <row r="13" spans="1:15">
      <c r="A13" s="157" t="s">
        <v>123</v>
      </c>
      <c r="B13" s="51">
        <f>SUM('3.Pay Level'!F12)</f>
        <v>6240</v>
      </c>
      <c r="C13" s="51">
        <f>SUM('3.Pay Level'!Q12)</f>
        <v>6240</v>
      </c>
      <c r="D13" s="23">
        <f>C13+'4.Fringe_Benefits'!G11</f>
        <v>7756.3824000000004</v>
      </c>
      <c r="E13" s="24">
        <v>70</v>
      </c>
      <c r="F13" s="66">
        <f t="shared" si="4"/>
        <v>5429.4676800000007</v>
      </c>
      <c r="G13" s="24">
        <v>30</v>
      </c>
      <c r="H13" s="66">
        <f t="shared" si="3"/>
        <v>2326.9147200000002</v>
      </c>
      <c r="I13" s="24"/>
      <c r="J13" s="66">
        <f t="shared" si="2"/>
        <v>0</v>
      </c>
      <c r="K13" s="25">
        <f t="shared" si="0"/>
        <v>100</v>
      </c>
      <c r="L13" s="67">
        <f t="shared" si="1"/>
        <v>7756.3824000000004</v>
      </c>
    </row>
    <row r="14" spans="1:15">
      <c r="A14" s="157"/>
      <c r="B14" s="51">
        <f>SUM('3.Pay Level'!F13)</f>
        <v>6240</v>
      </c>
      <c r="C14" s="51">
        <f>SUM('3.Pay Level'!Q13)</f>
        <v>6240</v>
      </c>
      <c r="D14" s="23">
        <f>C14+'4.Fringe_Benefits'!G12</f>
        <v>7756.3824000000004</v>
      </c>
      <c r="E14" s="24">
        <v>70</v>
      </c>
      <c r="F14" s="66">
        <f t="shared" ref="F14:F15" si="5">E14*$D14/100</f>
        <v>5429.4676800000007</v>
      </c>
      <c r="G14" s="24">
        <v>30</v>
      </c>
      <c r="H14" s="66">
        <f t="shared" si="3"/>
        <v>2326.9147200000002</v>
      </c>
      <c r="I14" s="24"/>
      <c r="J14" s="66">
        <f t="shared" si="2"/>
        <v>0</v>
      </c>
      <c r="K14" s="25">
        <f t="shared" si="0"/>
        <v>100</v>
      </c>
      <c r="L14" s="67">
        <f t="shared" si="1"/>
        <v>7756.3824000000004</v>
      </c>
    </row>
    <row r="15" spans="1:15">
      <c r="A15" s="157"/>
      <c r="B15" s="51"/>
      <c r="C15" s="51">
        <f>+'3.Pay Level'!J14</f>
        <v>30000</v>
      </c>
      <c r="D15" s="163">
        <f>+C15+'4.Fringe_Benefits'!B13</f>
        <v>32250</v>
      </c>
      <c r="E15" s="24">
        <v>100</v>
      </c>
      <c r="F15" s="66">
        <f t="shared" si="5"/>
        <v>32250</v>
      </c>
      <c r="G15" s="24"/>
      <c r="H15" s="66">
        <f t="shared" si="3"/>
        <v>0</v>
      </c>
      <c r="I15" s="24"/>
      <c r="J15" s="66">
        <f t="shared" si="2"/>
        <v>0</v>
      </c>
      <c r="K15" s="25">
        <f t="shared" si="0"/>
        <v>100</v>
      </c>
      <c r="L15" s="67">
        <f t="shared" si="1"/>
        <v>32250</v>
      </c>
    </row>
    <row r="16" spans="1:15" ht="15.75" thickBot="1">
      <c r="A16" s="53" t="s">
        <v>18</v>
      </c>
      <c r="B16" s="60">
        <f>SUM(B4:B15)</f>
        <v>99338</v>
      </c>
      <c r="C16" s="60">
        <f>SUM(C4:C15)</f>
        <v>130928.38461538461</v>
      </c>
      <c r="D16" s="60">
        <f>SUM(D4:D15)</f>
        <v>161398.52988000005</v>
      </c>
      <c r="E16" s="61" t="s">
        <v>22</v>
      </c>
      <c r="F16" s="62">
        <f>SUM(F4:F15)</f>
        <v>101809.29881400001</v>
      </c>
      <c r="G16" s="61" t="s">
        <v>22</v>
      </c>
      <c r="H16" s="62">
        <f>SUM(H4:H15)</f>
        <v>41482.775164000006</v>
      </c>
      <c r="I16" s="63" t="s">
        <v>1</v>
      </c>
      <c r="J16" s="62">
        <f>SUM(J4:J15)</f>
        <v>18106.455901999998</v>
      </c>
      <c r="K16" s="56" t="s">
        <v>22</v>
      </c>
      <c r="L16" s="62">
        <f>SUM(L4:L15)</f>
        <v>161398.52988000002</v>
      </c>
      <c r="O16" s="28"/>
    </row>
    <row r="17" spans="1:27" ht="15.75" thickTop="1">
      <c r="A17" s="29"/>
      <c r="B17" s="13"/>
      <c r="C17" s="30"/>
      <c r="D17" s="30"/>
      <c r="E17" s="13"/>
      <c r="F17" s="67"/>
      <c r="G17" s="31"/>
      <c r="H17" s="67"/>
      <c r="I17" s="13"/>
      <c r="J17" s="67"/>
    </row>
    <row r="18" spans="1:27" ht="15.75">
      <c r="A18" s="12" t="s">
        <v>5</v>
      </c>
      <c r="B18" s="7"/>
      <c r="C18" s="7"/>
      <c r="D18" s="8"/>
      <c r="E18" s="13"/>
      <c r="F18" s="67"/>
      <c r="G18" s="8"/>
      <c r="H18" s="64"/>
      <c r="I18" s="8"/>
      <c r="J18" s="64"/>
    </row>
    <row r="19" spans="1:27">
      <c r="A19" s="32"/>
      <c r="B19" s="32"/>
      <c r="C19" s="32"/>
      <c r="D19" s="32"/>
      <c r="E19" s="148" t="s">
        <v>107</v>
      </c>
      <c r="F19" s="149">
        <v>1.1000000000000001</v>
      </c>
      <c r="G19" s="148" t="s">
        <v>107</v>
      </c>
      <c r="H19" s="149">
        <v>2.1</v>
      </c>
      <c r="I19" s="148" t="s">
        <v>107</v>
      </c>
      <c r="J19" s="149">
        <v>3.1</v>
      </c>
      <c r="K19" s="234" t="s">
        <v>18</v>
      </c>
      <c r="L19" s="235"/>
    </row>
    <row r="20" spans="1:27">
      <c r="A20" s="16" t="s">
        <v>6</v>
      </c>
      <c r="B20" s="16" t="s">
        <v>41</v>
      </c>
      <c r="C20" s="16" t="s">
        <v>7</v>
      </c>
      <c r="D20" s="16" t="s">
        <v>8</v>
      </c>
      <c r="E20" s="20" t="s">
        <v>55</v>
      </c>
      <c r="F20" s="65" t="s">
        <v>56</v>
      </c>
      <c r="G20" s="20" t="s">
        <v>55</v>
      </c>
      <c r="H20" s="65" t="s">
        <v>56</v>
      </c>
      <c r="I20" s="20" t="s">
        <v>55</v>
      </c>
      <c r="J20" s="65" t="s">
        <v>56</v>
      </c>
      <c r="K20" s="22" t="s">
        <v>55</v>
      </c>
      <c r="L20" s="72" t="s">
        <v>56</v>
      </c>
    </row>
    <row r="21" spans="1:27" s="10" customFormat="1">
      <c r="A21" s="6" t="s">
        <v>2</v>
      </c>
      <c r="B21" s="86">
        <v>0</v>
      </c>
      <c r="C21" s="6"/>
      <c r="D21" s="6"/>
      <c r="E21" s="52">
        <v>0</v>
      </c>
      <c r="F21" s="68">
        <f>E21*$B21/100</f>
        <v>0</v>
      </c>
      <c r="G21" s="52">
        <v>0</v>
      </c>
      <c r="H21" s="68">
        <f>G21*$B21/100</f>
        <v>0</v>
      </c>
      <c r="I21" s="52">
        <v>0</v>
      </c>
      <c r="J21" s="68">
        <f>I21*$B21/100</f>
        <v>0</v>
      </c>
      <c r="K21" s="25">
        <f t="shared" ref="K21:K23" si="6">+E21+G21+I21</f>
        <v>0</v>
      </c>
      <c r="L21" s="67">
        <f t="shared" ref="L21:L23" si="7">+F21+H21+J21</f>
        <v>0</v>
      </c>
      <c r="M21" s="1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10" customFormat="1">
      <c r="A22" s="6" t="s">
        <v>3</v>
      </c>
      <c r="B22" s="33"/>
      <c r="C22" s="6"/>
      <c r="D22" s="6"/>
      <c r="E22" s="52">
        <v>0</v>
      </c>
      <c r="F22" s="68">
        <f>E22*$B22/100</f>
        <v>0</v>
      </c>
      <c r="G22" s="52">
        <v>0</v>
      </c>
      <c r="H22" s="68">
        <f>G22*$B22/100</f>
        <v>0</v>
      </c>
      <c r="I22" s="52">
        <v>0</v>
      </c>
      <c r="J22" s="68">
        <f>I22*$B22/100</f>
        <v>0</v>
      </c>
      <c r="K22" s="25">
        <f t="shared" si="6"/>
        <v>0</v>
      </c>
      <c r="L22" s="67">
        <f t="shared" si="7"/>
        <v>0</v>
      </c>
      <c r="M22" s="13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10" customFormat="1">
      <c r="A23" s="6" t="s">
        <v>84</v>
      </c>
      <c r="B23" s="33"/>
      <c r="C23" s="6"/>
      <c r="D23" s="6"/>
      <c r="E23" s="52">
        <v>0</v>
      </c>
      <c r="F23" s="68">
        <f>E23*$B23/100</f>
        <v>0</v>
      </c>
      <c r="G23" s="52">
        <v>0</v>
      </c>
      <c r="H23" s="68">
        <f>G23*$B23/100</f>
        <v>0</v>
      </c>
      <c r="I23" s="52">
        <v>0</v>
      </c>
      <c r="J23" s="68">
        <f>I23*$B23/100</f>
        <v>0</v>
      </c>
      <c r="K23" s="25">
        <f t="shared" si="6"/>
        <v>0</v>
      </c>
      <c r="L23" s="67">
        <f t="shared" si="7"/>
        <v>0</v>
      </c>
      <c r="M23" s="13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10" customFormat="1" ht="15.75" thickBot="1">
      <c r="A24" s="26" t="s">
        <v>18</v>
      </c>
      <c r="B24" s="34">
        <f>SUM(B21:B23)</f>
        <v>0</v>
      </c>
      <c r="C24" s="35"/>
      <c r="D24" s="36"/>
      <c r="E24" s="37"/>
      <c r="F24" s="27">
        <f t="shared" ref="F24" si="8">SUM(F21:F23)</f>
        <v>0</v>
      </c>
      <c r="G24" s="38"/>
      <c r="H24" s="71">
        <f t="shared" ref="H24" si="9">SUM(H21:H23)</f>
        <v>0</v>
      </c>
      <c r="I24" s="37">
        <f t="shared" ref="I24:J24" si="10">SUM(I21:I23)</f>
        <v>0</v>
      </c>
      <c r="J24" s="27">
        <f t="shared" si="10"/>
        <v>0</v>
      </c>
      <c r="K24" s="56"/>
      <c r="L24" s="73">
        <f>SUM(L21:L23)</f>
        <v>0</v>
      </c>
      <c r="M24" s="13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.75" thickTop="1"/>
    <row r="26" spans="1:27" s="1" customFormat="1" ht="15.75">
      <c r="A26" s="39" t="s">
        <v>108</v>
      </c>
      <c r="B26" s="40"/>
      <c r="C26" s="40"/>
      <c r="D26" s="41"/>
      <c r="E26" s="41"/>
      <c r="F26" s="44"/>
      <c r="G26" s="41"/>
      <c r="H26" s="44"/>
      <c r="I26" s="41"/>
      <c r="J26" s="44"/>
      <c r="K26" s="41"/>
      <c r="L26" s="41"/>
      <c r="M26" s="74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>
      <c r="A27" s="42"/>
      <c r="B27" s="42"/>
      <c r="C27" s="42"/>
      <c r="D27" s="15"/>
      <c r="E27" s="148" t="s">
        <v>107</v>
      </c>
      <c r="F27" s="149">
        <v>1.1000000000000001</v>
      </c>
      <c r="G27" s="148" t="s">
        <v>107</v>
      </c>
      <c r="H27" s="149">
        <v>2.1</v>
      </c>
      <c r="I27" s="148" t="s">
        <v>107</v>
      </c>
      <c r="J27" s="149">
        <v>3.1</v>
      </c>
      <c r="K27" s="234" t="s">
        <v>18</v>
      </c>
      <c r="L27" s="235"/>
    </row>
    <row r="28" spans="1:27">
      <c r="A28" s="16" t="s">
        <v>10</v>
      </c>
      <c r="B28" s="16" t="s">
        <v>81</v>
      </c>
      <c r="C28" s="16" t="s">
        <v>12</v>
      </c>
      <c r="D28" s="20"/>
      <c r="E28" s="20" t="s">
        <v>55</v>
      </c>
      <c r="F28" s="65" t="s">
        <v>56</v>
      </c>
      <c r="G28" s="20" t="s">
        <v>55</v>
      </c>
      <c r="H28" s="65" t="s">
        <v>56</v>
      </c>
      <c r="I28" s="20" t="s">
        <v>55</v>
      </c>
      <c r="J28" s="65" t="s">
        <v>56</v>
      </c>
      <c r="K28" s="22" t="s">
        <v>55</v>
      </c>
      <c r="L28" s="72" t="s">
        <v>56</v>
      </c>
    </row>
    <row r="29" spans="1:27" s="10" customFormat="1">
      <c r="A29" s="50" t="s">
        <v>0</v>
      </c>
      <c r="B29" s="51">
        <v>0</v>
      </c>
      <c r="C29" s="51" t="s">
        <v>1</v>
      </c>
      <c r="D29" s="23" t="s">
        <v>1</v>
      </c>
      <c r="E29" s="52">
        <v>0</v>
      </c>
      <c r="F29" s="68">
        <f>E29*$B29/100</f>
        <v>0</v>
      </c>
      <c r="G29" s="52">
        <v>0</v>
      </c>
      <c r="H29" s="68">
        <f>G29*$B29/100</f>
        <v>0</v>
      </c>
      <c r="I29" s="52">
        <v>0</v>
      </c>
      <c r="J29" s="68">
        <f>I29*$B29/100</f>
        <v>0</v>
      </c>
      <c r="K29" s="25">
        <f t="shared" ref="K29:K32" si="11">+E29+G29+I29</f>
        <v>0</v>
      </c>
      <c r="L29" s="67">
        <f t="shared" ref="L29:L32" si="12">+F29+H29+J29</f>
        <v>0</v>
      </c>
      <c r="M29" s="1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10" customFormat="1">
      <c r="A30" s="50" t="s">
        <v>83</v>
      </c>
      <c r="B30" s="155">
        <v>0</v>
      </c>
      <c r="C30" s="51" t="s">
        <v>1</v>
      </c>
      <c r="D30" s="23" t="s">
        <v>1</v>
      </c>
      <c r="E30" s="52">
        <v>0</v>
      </c>
      <c r="F30" s="68">
        <f>E30*$B30/100</f>
        <v>0</v>
      </c>
      <c r="G30" s="52">
        <v>0</v>
      </c>
      <c r="H30" s="68">
        <f>G30*$B30/100</f>
        <v>0</v>
      </c>
      <c r="I30" s="52">
        <v>0</v>
      </c>
      <c r="J30" s="68">
        <f>I30*$B30/100</f>
        <v>0</v>
      </c>
      <c r="K30" s="25">
        <f t="shared" si="11"/>
        <v>0</v>
      </c>
      <c r="L30" s="67">
        <f t="shared" si="12"/>
        <v>0</v>
      </c>
      <c r="M30" s="1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10" customFormat="1">
      <c r="A31" s="50" t="s">
        <v>109</v>
      </c>
      <c r="B31" s="155">
        <v>0</v>
      </c>
      <c r="C31" s="51" t="s">
        <v>1</v>
      </c>
      <c r="D31" s="23" t="s">
        <v>1</v>
      </c>
      <c r="E31" s="52">
        <v>0</v>
      </c>
      <c r="F31" s="68">
        <f>E31*$B31/100</f>
        <v>0</v>
      </c>
      <c r="G31" s="52">
        <v>0</v>
      </c>
      <c r="H31" s="68">
        <f>G31*$B31/100</f>
        <v>0</v>
      </c>
      <c r="I31" s="52">
        <v>0</v>
      </c>
      <c r="J31" s="68">
        <f>I31*$B31/100</f>
        <v>0</v>
      </c>
      <c r="K31" s="25">
        <f t="shared" si="11"/>
        <v>0</v>
      </c>
      <c r="L31" s="67">
        <f t="shared" si="12"/>
        <v>0</v>
      </c>
      <c r="M31" s="13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10" customFormat="1">
      <c r="A32" s="50" t="s">
        <v>110</v>
      </c>
      <c r="B32" s="155">
        <v>0</v>
      </c>
      <c r="C32" s="51" t="s">
        <v>1</v>
      </c>
      <c r="D32" s="23" t="s">
        <v>1</v>
      </c>
      <c r="E32" s="52">
        <v>0</v>
      </c>
      <c r="F32" s="68">
        <f>E32*$B32/100</f>
        <v>0</v>
      </c>
      <c r="G32" s="52">
        <v>0</v>
      </c>
      <c r="H32" s="68">
        <f>G32*$B32/100</f>
        <v>0</v>
      </c>
      <c r="I32" s="52">
        <v>0</v>
      </c>
      <c r="J32" s="68">
        <f>I32*$B32/100</f>
        <v>0</v>
      </c>
      <c r="K32" s="25">
        <f t="shared" si="11"/>
        <v>0</v>
      </c>
      <c r="L32" s="67">
        <f t="shared" si="12"/>
        <v>0</v>
      </c>
      <c r="M32" s="13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10" customFormat="1" ht="15.75" thickBot="1">
      <c r="A33" s="53" t="s">
        <v>18</v>
      </c>
      <c r="B33" s="59">
        <f>SUM(B29:B32)</f>
        <v>0</v>
      </c>
      <c r="C33" s="58"/>
      <c r="D33" s="55"/>
      <c r="E33" s="55"/>
      <c r="F33" s="57">
        <f>SUM(F29:F32)</f>
        <v>0</v>
      </c>
      <c r="G33" s="55" t="s">
        <v>82</v>
      </c>
      <c r="H33" s="57">
        <f>SUM(H29:H32)</f>
        <v>0</v>
      </c>
      <c r="I33" s="55" t="s">
        <v>1</v>
      </c>
      <c r="J33" s="57">
        <f>SUM(J29:J32)</f>
        <v>0</v>
      </c>
      <c r="K33" s="56"/>
      <c r="L33" s="73">
        <f>SUM(L29:L32)</f>
        <v>0</v>
      </c>
      <c r="M33" s="13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5.75" thickTop="1"/>
    <row r="35" spans="1:27" ht="15.75">
      <c r="A35" s="43" t="s">
        <v>11</v>
      </c>
      <c r="B35" s="5"/>
      <c r="C35" s="5"/>
    </row>
    <row r="36" spans="1:27">
      <c r="A36" s="42"/>
      <c r="B36" s="42"/>
      <c r="C36" s="42"/>
      <c r="D36" s="15"/>
      <c r="E36" s="148" t="s">
        <v>107</v>
      </c>
      <c r="F36" s="149">
        <v>1.1000000000000001</v>
      </c>
      <c r="G36" s="148" t="s">
        <v>107</v>
      </c>
      <c r="H36" s="149">
        <v>2.1</v>
      </c>
      <c r="I36" s="148" t="s">
        <v>107</v>
      </c>
      <c r="J36" s="149">
        <v>3.1</v>
      </c>
      <c r="K36" s="234" t="s">
        <v>18</v>
      </c>
      <c r="L36" s="235"/>
    </row>
    <row r="37" spans="1:27">
      <c r="A37" s="16" t="s">
        <v>10</v>
      </c>
      <c r="B37" s="16" t="s">
        <v>44</v>
      </c>
      <c r="C37" s="16"/>
      <c r="D37" s="20"/>
      <c r="E37" s="20" t="s">
        <v>55</v>
      </c>
      <c r="F37" s="65" t="s">
        <v>56</v>
      </c>
      <c r="G37" s="20" t="s">
        <v>55</v>
      </c>
      <c r="H37" s="65" t="s">
        <v>56</v>
      </c>
      <c r="I37" s="20" t="s">
        <v>55</v>
      </c>
      <c r="J37" s="65" t="s">
        <v>56</v>
      </c>
      <c r="K37" s="22" t="s">
        <v>55</v>
      </c>
      <c r="L37" s="72" t="s">
        <v>56</v>
      </c>
    </row>
    <row r="38" spans="1:27">
      <c r="A38" s="6" t="s">
        <v>73</v>
      </c>
      <c r="B38" s="86">
        <v>0</v>
      </c>
      <c r="C38" s="44"/>
      <c r="D38" s="24"/>
      <c r="E38" s="52">
        <v>0</v>
      </c>
      <c r="F38" s="68">
        <f>E38*$B38/100</f>
        <v>0</v>
      </c>
      <c r="G38" s="52">
        <v>0</v>
      </c>
      <c r="H38" s="68">
        <f>G38*$B38/100</f>
        <v>0</v>
      </c>
      <c r="I38" s="52">
        <v>0</v>
      </c>
      <c r="J38" s="68">
        <f>I38*$B38/100</f>
        <v>0</v>
      </c>
      <c r="K38" s="25">
        <f t="shared" ref="K38:K42" si="13">+E38+G38+I38</f>
        <v>0</v>
      </c>
      <c r="L38" s="67">
        <f t="shared" ref="L38:L42" si="14">+F38+H38+J38</f>
        <v>0</v>
      </c>
    </row>
    <row r="39" spans="1:27">
      <c r="A39" s="6" t="s">
        <v>203</v>
      </c>
      <c r="B39" s="44">
        <v>5000</v>
      </c>
      <c r="C39" s="44"/>
      <c r="D39" s="24"/>
      <c r="E39" s="52">
        <v>0</v>
      </c>
      <c r="F39" s="68">
        <f>E39*$B39/100</f>
        <v>0</v>
      </c>
      <c r="G39" s="52">
        <v>0</v>
      </c>
      <c r="H39" s="68">
        <f>G39*$B39/100</f>
        <v>0</v>
      </c>
      <c r="I39" s="52">
        <v>0</v>
      </c>
      <c r="J39" s="68">
        <f>I39*$B39/100</f>
        <v>0</v>
      </c>
      <c r="K39" s="25">
        <f t="shared" si="13"/>
        <v>0</v>
      </c>
      <c r="L39" s="67">
        <v>5000</v>
      </c>
    </row>
    <row r="40" spans="1:27">
      <c r="A40" s="6" t="s">
        <v>75</v>
      </c>
      <c r="B40" s="44">
        <v>35000</v>
      </c>
      <c r="C40" s="44"/>
      <c r="D40" s="24"/>
      <c r="E40" s="52">
        <v>55</v>
      </c>
      <c r="F40" s="68">
        <f>E40*$B40/100</f>
        <v>19250</v>
      </c>
      <c r="G40" s="52">
        <v>35</v>
      </c>
      <c r="H40" s="68">
        <f>G40*$B40/100</f>
        <v>12250</v>
      </c>
      <c r="I40" s="52">
        <v>10</v>
      </c>
      <c r="J40" s="68">
        <f>I40*$B40/100</f>
        <v>3500</v>
      </c>
      <c r="K40" s="25">
        <f t="shared" si="13"/>
        <v>100</v>
      </c>
      <c r="L40" s="67">
        <f t="shared" si="14"/>
        <v>35000</v>
      </c>
    </row>
    <row r="41" spans="1:27">
      <c r="A41" s="6" t="s">
        <v>223</v>
      </c>
      <c r="B41" s="45">
        <v>30000</v>
      </c>
      <c r="C41" s="45"/>
      <c r="D41" s="24"/>
      <c r="E41" s="52">
        <v>100</v>
      </c>
      <c r="F41" s="68">
        <f>E41*$B41/100</f>
        <v>30000</v>
      </c>
      <c r="G41" s="52">
        <v>0</v>
      </c>
      <c r="H41" s="68">
        <f>G41*$B41/100</f>
        <v>0</v>
      </c>
      <c r="I41" s="52">
        <v>0</v>
      </c>
      <c r="J41" s="68">
        <f>I41*$B41/100</f>
        <v>0</v>
      </c>
      <c r="K41" s="25">
        <f t="shared" si="13"/>
        <v>100</v>
      </c>
      <c r="L41" s="67">
        <f t="shared" si="14"/>
        <v>30000</v>
      </c>
    </row>
    <row r="42" spans="1:27">
      <c r="A42" s="6" t="s">
        <v>76</v>
      </c>
      <c r="B42" s="45">
        <v>0</v>
      </c>
      <c r="C42" s="45"/>
      <c r="D42" s="24"/>
      <c r="E42" s="52">
        <v>0</v>
      </c>
      <c r="F42" s="68">
        <f>E42*$B42/100</f>
        <v>0</v>
      </c>
      <c r="G42" s="52">
        <v>0</v>
      </c>
      <c r="H42" s="68">
        <f>G42*$B42/100</f>
        <v>0</v>
      </c>
      <c r="I42" s="52">
        <v>0</v>
      </c>
      <c r="J42" s="68">
        <f>I42*$B42/100</f>
        <v>0</v>
      </c>
      <c r="K42" s="25">
        <f t="shared" si="13"/>
        <v>0</v>
      </c>
      <c r="L42" s="67">
        <f t="shared" si="14"/>
        <v>0</v>
      </c>
    </row>
    <row r="43" spans="1:27" ht="15.75" thickBot="1">
      <c r="A43" s="53" t="s">
        <v>18</v>
      </c>
      <c r="B43" s="156">
        <f>SUM(B38:B42)</f>
        <v>70000</v>
      </c>
      <c r="C43" s="54"/>
      <c r="D43" s="55"/>
      <c r="E43" s="55"/>
      <c r="F43" s="57">
        <f>SUM(F38:F42)</f>
        <v>49250</v>
      </c>
      <c r="G43" s="55" t="s">
        <v>22</v>
      </c>
      <c r="H43" s="57">
        <f>SUM(H38:H42)</f>
        <v>12250</v>
      </c>
      <c r="I43" s="55" t="s">
        <v>1</v>
      </c>
      <c r="J43" s="57">
        <f>SUM(J38:J42)</f>
        <v>3500</v>
      </c>
      <c r="K43" s="56"/>
      <c r="L43" s="73">
        <f>SUM(L38:L42)</f>
        <v>70000</v>
      </c>
    </row>
    <row r="44" spans="1:27" s="4" customFormat="1" ht="16.5" thickTop="1">
      <c r="A44" s="99"/>
      <c r="B44" s="46"/>
      <c r="C44" s="46"/>
      <c r="D44" s="47"/>
      <c r="E44" s="47"/>
      <c r="F44" s="45"/>
      <c r="G44" s="49"/>
      <c r="H44" s="69"/>
      <c r="I44" s="49"/>
      <c r="J44" s="69"/>
      <c r="K44" s="48"/>
      <c r="L44" s="48"/>
      <c r="M44" s="47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1:27" ht="15.75">
      <c r="A45" s="43" t="s">
        <v>63</v>
      </c>
      <c r="B45" s="5"/>
      <c r="C45" s="5"/>
    </row>
    <row r="46" spans="1:27">
      <c r="A46" s="42"/>
      <c r="B46" s="42"/>
      <c r="C46" s="42"/>
      <c r="D46" s="15"/>
      <c r="E46" s="148" t="s">
        <v>107</v>
      </c>
      <c r="F46" s="149">
        <v>1.1000000000000001</v>
      </c>
      <c r="G46" s="148" t="s">
        <v>107</v>
      </c>
      <c r="H46" s="149">
        <v>2.1</v>
      </c>
      <c r="I46" s="148" t="s">
        <v>107</v>
      </c>
      <c r="J46" s="149">
        <v>3.1</v>
      </c>
      <c r="K46" s="234" t="s">
        <v>18</v>
      </c>
      <c r="L46" s="235"/>
    </row>
    <row r="47" spans="1:27">
      <c r="A47" s="16" t="s">
        <v>10</v>
      </c>
      <c r="B47" s="16" t="s">
        <v>44</v>
      </c>
      <c r="C47" s="16"/>
      <c r="D47" s="20"/>
      <c r="E47" s="20" t="s">
        <v>55</v>
      </c>
      <c r="F47" s="65" t="s">
        <v>56</v>
      </c>
      <c r="G47" s="21" t="s">
        <v>56</v>
      </c>
      <c r="H47" s="70" t="s">
        <v>55</v>
      </c>
      <c r="I47" s="20" t="s">
        <v>55</v>
      </c>
      <c r="J47" s="65" t="s">
        <v>56</v>
      </c>
      <c r="K47" s="22" t="s">
        <v>55</v>
      </c>
      <c r="L47" s="72" t="s">
        <v>56</v>
      </c>
    </row>
    <row r="48" spans="1:27" s="6" customFormat="1">
      <c r="A48" t="s">
        <v>111</v>
      </c>
      <c r="B48" s="86">
        <v>30000</v>
      </c>
      <c r="C48" s="86"/>
      <c r="D48" s="52"/>
      <c r="E48" s="52">
        <v>100</v>
      </c>
      <c r="F48" s="68">
        <f>E48*$B48/100</f>
        <v>30000</v>
      </c>
      <c r="G48" s="52">
        <v>0</v>
      </c>
      <c r="H48" s="68">
        <f>G48*$B48/100</f>
        <v>0</v>
      </c>
      <c r="I48" s="52">
        <v>0</v>
      </c>
      <c r="J48" s="68">
        <f>I48*$B48/100</f>
        <v>0</v>
      </c>
      <c r="K48" s="25">
        <f t="shared" ref="K48" si="15">+E48+G48+I48</f>
        <v>100</v>
      </c>
      <c r="L48" s="67">
        <f t="shared" ref="L48" si="16">+F48+H48+J48</f>
        <v>30000</v>
      </c>
      <c r="M48" s="13"/>
    </row>
    <row r="49" spans="1:12" ht="15.75" thickBot="1">
      <c r="A49" s="53" t="s">
        <v>18</v>
      </c>
      <c r="B49" s="59">
        <f>+B48</f>
        <v>30000</v>
      </c>
      <c r="C49" s="58"/>
      <c r="D49" s="55"/>
      <c r="E49" s="55"/>
      <c r="F49" s="57">
        <f>SUM(F48)</f>
        <v>30000</v>
      </c>
      <c r="G49" s="55" t="s">
        <v>22</v>
      </c>
      <c r="H49" s="57">
        <f>SUM(H48)</f>
        <v>0</v>
      </c>
      <c r="I49" s="55" t="s">
        <v>1</v>
      </c>
      <c r="J49" s="57">
        <f>SUM(J48)</f>
        <v>0</v>
      </c>
      <c r="K49" s="56"/>
      <c r="L49" s="73">
        <f>SUM(L48)</f>
        <v>30000</v>
      </c>
    </row>
    <row r="50" spans="1:12" ht="15.75" thickTop="1"/>
    <row r="51" spans="1:12">
      <c r="A51" s="6" t="s">
        <v>18</v>
      </c>
      <c r="B51" s="33">
        <f>+D16+B24+B33+B43+B49</f>
        <v>261398.52988000005</v>
      </c>
    </row>
    <row r="52" spans="1:12">
      <c r="B52" s="33"/>
    </row>
    <row r="53" spans="1:12">
      <c r="B53" s="33"/>
      <c r="C53" s="33"/>
    </row>
  </sheetData>
  <mergeCells count="6">
    <mergeCell ref="K46:L46"/>
    <mergeCell ref="K2:L2"/>
    <mergeCell ref="B2:D2"/>
    <mergeCell ref="K19:L19"/>
    <mergeCell ref="K27:L27"/>
    <mergeCell ref="K36:L36"/>
  </mergeCells>
  <phoneticPr fontId="2" type="noConversion"/>
  <pageMargins left="0.7" right="0.7" top="0.75" bottom="0.75" header="0.3" footer="0.3"/>
  <pageSetup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G20" sqref="G20"/>
    </sheetView>
  </sheetViews>
  <sheetFormatPr defaultRowHeight="15"/>
  <cols>
    <col min="3" max="3" width="10.140625" bestFit="1" customWidth="1"/>
    <col min="4" max="4" width="32" bestFit="1" customWidth="1"/>
    <col min="6" max="6" width="12.5703125" bestFit="1" customWidth="1"/>
  </cols>
  <sheetData>
    <row r="1" spans="1:6">
      <c r="A1" t="s">
        <v>85</v>
      </c>
    </row>
    <row r="2" spans="1:6">
      <c r="A2" t="s">
        <v>205</v>
      </c>
    </row>
    <row r="3" spans="1:6">
      <c r="A3" t="s">
        <v>212</v>
      </c>
    </row>
    <row r="5" spans="1:6">
      <c r="C5" t="s">
        <v>86</v>
      </c>
      <c r="D5" t="s">
        <v>87</v>
      </c>
      <c r="F5" s="153">
        <v>2022</v>
      </c>
    </row>
    <row r="6" spans="1:6">
      <c r="D6" t="s">
        <v>33</v>
      </c>
      <c r="F6" s="103">
        <f>'5.Budget_Items'!C16</f>
        <v>130928.38461538461</v>
      </c>
    </row>
    <row r="7" spans="1:6">
      <c r="D7" t="s">
        <v>88</v>
      </c>
      <c r="F7" s="154">
        <f>'4.Fringe_Benefits'!B14</f>
        <v>9819.6288461538461</v>
      </c>
    </row>
    <row r="8" spans="1:6">
      <c r="D8" t="s">
        <v>89</v>
      </c>
      <c r="F8" s="154">
        <f>'4.Fringe_Benefits'!E14</f>
        <v>8428.32</v>
      </c>
    </row>
    <row r="9" spans="1:6">
      <c r="D9" t="s">
        <v>90</v>
      </c>
      <c r="F9" s="154">
        <f>'4.Fringe_Benefits'!F14</f>
        <v>1994.3448800000003</v>
      </c>
    </row>
    <row r="10" spans="1:6">
      <c r="D10" t="s">
        <v>14</v>
      </c>
      <c r="F10" s="154">
        <f>'4.Fringe_Benefits'!C14</f>
        <v>3027.8515384615375</v>
      </c>
    </row>
    <row r="11" spans="1:6">
      <c r="D11" t="s">
        <v>15</v>
      </c>
      <c r="F11" s="154">
        <f>'4.Fringe_Benefits'!D14</f>
        <v>7200</v>
      </c>
    </row>
    <row r="12" spans="1:6">
      <c r="F12" s="154">
        <f>SUM(F6:F11)</f>
        <v>161398.52987999999</v>
      </c>
    </row>
    <row r="13" spans="1:6">
      <c r="F13" s="154"/>
    </row>
    <row r="14" spans="1:6">
      <c r="D14" t="s">
        <v>5</v>
      </c>
      <c r="F14" s="154">
        <f>+'5.Budget_Items'!L24</f>
        <v>0</v>
      </c>
    </row>
    <row r="15" spans="1:6">
      <c r="D15" t="s">
        <v>9</v>
      </c>
      <c r="F15" s="154">
        <f>+'5.Budget_Items'!L33</f>
        <v>0</v>
      </c>
    </row>
    <row r="16" spans="1:6">
      <c r="F16" s="154"/>
    </row>
    <row r="17" spans="4:8">
      <c r="D17" s="6" t="s">
        <v>203</v>
      </c>
      <c r="F17" s="154">
        <v>5000</v>
      </c>
    </row>
    <row r="18" spans="4:8">
      <c r="D18" s="6" t="s">
        <v>74</v>
      </c>
      <c r="F18" s="154">
        <v>0</v>
      </c>
    </row>
    <row r="19" spans="4:8">
      <c r="D19" s="6" t="s">
        <v>75</v>
      </c>
      <c r="F19" s="154">
        <f>+'5.Budget_Items'!B40</f>
        <v>35000</v>
      </c>
    </row>
    <row r="20" spans="4:8">
      <c r="D20" s="6" t="s">
        <v>139</v>
      </c>
      <c r="F20" s="154">
        <f>+'5.Budget_Items'!B41</f>
        <v>30000</v>
      </c>
    </row>
    <row r="21" spans="4:8">
      <c r="D21" s="6" t="s">
        <v>76</v>
      </c>
      <c r="F21" s="154">
        <f>+'5.Budget_Items'!L42</f>
        <v>0</v>
      </c>
    </row>
    <row r="22" spans="4:8">
      <c r="F22" s="154"/>
    </row>
    <row r="23" spans="4:8">
      <c r="D23" s="97" t="s">
        <v>204</v>
      </c>
      <c r="F23" s="154">
        <f>+'5.Budget_Items'!B48</f>
        <v>30000</v>
      </c>
    </row>
    <row r="24" spans="4:8">
      <c r="F24" s="103">
        <f>SUM(F12:F23)</f>
        <v>261398.52987999999</v>
      </c>
    </row>
    <row r="25" spans="4:8">
      <c r="H25" s="102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"/>
  <sheetViews>
    <sheetView view="pageLayout" zoomScaleNormal="100" workbookViewId="0">
      <selection activeCell="B5" sqref="B5"/>
    </sheetView>
  </sheetViews>
  <sheetFormatPr defaultColWidth="8.85546875" defaultRowHeight="15"/>
  <cols>
    <col min="1" max="1" width="2.85546875" customWidth="1"/>
    <col min="2" max="2" width="12" style="6" customWidth="1"/>
    <col min="3" max="3" width="15.7109375" style="6" customWidth="1"/>
    <col min="4" max="4" width="15.140625" style="6" customWidth="1"/>
    <col min="5" max="5" width="16.7109375" style="6" customWidth="1"/>
    <col min="6" max="6" width="15.140625" style="6" customWidth="1"/>
    <col min="7" max="7" width="15.42578125" style="6" customWidth="1"/>
    <col min="8" max="8" width="17.28515625" style="6" customWidth="1"/>
    <col min="9" max="15" width="8.85546875" style="6"/>
  </cols>
  <sheetData>
    <row r="1" spans="2:15" s="75" customFormat="1">
      <c r="B1" s="237" t="s">
        <v>42</v>
      </c>
      <c r="C1" s="237"/>
      <c r="D1" s="237"/>
      <c r="E1" s="237"/>
      <c r="F1" s="76"/>
      <c r="G1" s="76"/>
      <c r="H1" s="76"/>
      <c r="I1" s="76"/>
      <c r="J1" s="13"/>
      <c r="K1" s="13"/>
      <c r="L1" s="13"/>
      <c r="M1" s="13"/>
      <c r="N1" s="13"/>
      <c r="O1" s="13"/>
    </row>
    <row r="2" spans="2:15">
      <c r="B2" s="2"/>
      <c r="C2" s="3"/>
      <c r="D2" s="3"/>
      <c r="E2" s="3"/>
      <c r="F2" s="3"/>
      <c r="G2" s="3"/>
      <c r="H2" s="3"/>
      <c r="I2" s="3"/>
    </row>
    <row r="3" spans="2:15">
      <c r="B3" s="77"/>
      <c r="C3" s="78"/>
      <c r="D3" s="78"/>
      <c r="E3" s="78"/>
      <c r="F3" s="78"/>
      <c r="G3" s="78"/>
      <c r="H3" s="78" t="s">
        <v>57</v>
      </c>
      <c r="I3" s="79" t="s">
        <v>58</v>
      </c>
    </row>
    <row r="4" spans="2:15">
      <c r="B4" s="80" t="s">
        <v>43</v>
      </c>
      <c r="C4" s="81" t="s">
        <v>59</v>
      </c>
      <c r="D4" s="81" t="s">
        <v>60</v>
      </c>
      <c r="E4" s="81" t="s">
        <v>61</v>
      </c>
      <c r="F4" s="81" t="s">
        <v>62</v>
      </c>
      <c r="G4" s="81" t="s">
        <v>71</v>
      </c>
      <c r="H4" s="81" t="s">
        <v>18</v>
      </c>
      <c r="I4" s="82" t="s">
        <v>72</v>
      </c>
    </row>
    <row r="5" spans="2:15">
      <c r="B5" s="83">
        <f>+'5.Budget_Items'!F2</f>
        <v>1.1000000000000001</v>
      </c>
      <c r="C5" s="100">
        <f>+'5.Budget_Items'!F16</f>
        <v>101809.29881400001</v>
      </c>
      <c r="D5" s="100">
        <f>+'5.Budget_Items'!F24</f>
        <v>0</v>
      </c>
      <c r="E5" s="100">
        <f>+'5.Budget_Items'!F33</f>
        <v>0</v>
      </c>
      <c r="F5" s="100">
        <f>+'5.Budget_Items'!F43</f>
        <v>49250</v>
      </c>
      <c r="G5" s="100">
        <f>+'5.Budget_Items'!F49</f>
        <v>30000</v>
      </c>
      <c r="H5" s="101">
        <f>SUM(C5:G5)</f>
        <v>181059.29881400001</v>
      </c>
      <c r="I5" s="84">
        <f>SUM(H5/H8)</f>
        <v>0.69265614805530362</v>
      </c>
    </row>
    <row r="6" spans="2:15">
      <c r="B6" s="83">
        <f>+'5.Budget_Items'!H2</f>
        <v>2.1</v>
      </c>
      <c r="C6" s="150">
        <f>+'5.Budget_Items'!H16+'line item'!F17</f>
        <v>46482.775164000006</v>
      </c>
      <c r="D6" s="151">
        <f>+'5.Budget_Items'!H24</f>
        <v>0</v>
      </c>
      <c r="E6" s="151">
        <f>+'5.Budget_Items'!H33</f>
        <v>0</v>
      </c>
      <c r="F6" s="151">
        <f>+'5.Budget_Items'!H43</f>
        <v>12250</v>
      </c>
      <c r="G6" s="151">
        <f>+'5.Budget_Items'!H49</f>
        <v>0</v>
      </c>
      <c r="H6" s="152">
        <f t="shared" ref="H6" si="0">SUM(C6:G6)</f>
        <v>58732.775164000006</v>
      </c>
      <c r="I6" s="84">
        <f>SUM(H6/H8)</f>
        <v>0.22468670803528393</v>
      </c>
    </row>
    <row r="7" spans="2:15">
      <c r="B7" s="83">
        <f>+'5.Budget_Items'!J2</f>
        <v>3.1</v>
      </c>
      <c r="C7" s="150">
        <f>+'5.Budget_Items'!J16</f>
        <v>18106.455901999998</v>
      </c>
      <c r="D7" s="151">
        <f>+'5.Budget_Items'!J24</f>
        <v>0</v>
      </c>
      <c r="E7" s="151">
        <f>+'5.Budget_Items'!J33</f>
        <v>0</v>
      </c>
      <c r="F7" s="151">
        <f>+'5.Budget_Items'!J43</f>
        <v>3500</v>
      </c>
      <c r="G7" s="151">
        <f>+'5.Budget_Items'!J49</f>
        <v>0</v>
      </c>
      <c r="H7" s="152">
        <f t="shared" ref="H7" si="1">SUM(C7:G7)</f>
        <v>21606.455901999998</v>
      </c>
      <c r="I7" s="84">
        <f>SUM(H7/H8)</f>
        <v>8.2657143909412395E-2</v>
      </c>
    </row>
    <row r="8" spans="2:15">
      <c r="B8" s="85" t="s">
        <v>57</v>
      </c>
      <c r="C8" s="100">
        <f>SUM(C5:C7)</f>
        <v>166398.52988000002</v>
      </c>
      <c r="D8" s="100">
        <f>SUM(D1:D7)</f>
        <v>0</v>
      </c>
      <c r="E8" s="100">
        <f>SUM(E5:E7)</f>
        <v>0</v>
      </c>
      <c r="F8" s="100">
        <f>SUM(F5:F7)</f>
        <v>65000</v>
      </c>
      <c r="G8" s="100">
        <f>SUM(G1:G7)</f>
        <v>30000</v>
      </c>
      <c r="H8" s="101">
        <f>SUM(H5:H7)</f>
        <v>261398.52988000002</v>
      </c>
      <c r="I8" s="84">
        <f>SUM(I5:I7)</f>
        <v>0.99999999999999989</v>
      </c>
    </row>
  </sheetData>
  <mergeCells count="1">
    <mergeCell ref="B1:E1"/>
  </mergeCells>
  <phoneticPr fontId="2" type="noConversion"/>
  <pageMargins left="0.7" right="0.7" top="0.75" bottom="0.75" header="0.3" footer="0.3"/>
  <pageSetup orientation="landscape" horizontalDpi="4294967292" verticalDpi="4294967292" r:id="rId1"/>
  <headerFooter alignWithMargins="0">
    <oddHeader>&amp;LOffice of Admissions and Records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ColWidth="8.85546875" defaultRowHeight="1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rev_exp</vt:lpstr>
      <vt:lpstr>1.Directions</vt:lpstr>
      <vt:lpstr>2.Performance_Items</vt:lpstr>
      <vt:lpstr>3.Pay Level</vt:lpstr>
      <vt:lpstr>4.Fringe_Benefits</vt:lpstr>
      <vt:lpstr>5.Budget_Items</vt:lpstr>
      <vt:lpstr>line item</vt:lpstr>
      <vt:lpstr>Activity Cost</vt:lpstr>
      <vt:lpstr>Pay Levels</vt:lpstr>
      <vt:lpstr>Summary</vt:lpstr>
      <vt:lpstr>'2.Performance_Items'!Print_Area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Researcher</dc:title>
  <dc:subject>Budget Workbook</dc:subject>
  <dc:creator>William Haglelgam</dc:creator>
  <cp:keywords>Performance Budget</cp:keywords>
  <cp:lastModifiedBy>Roselle</cp:lastModifiedBy>
  <cp:lastPrinted>2021-10-11T23:42:13Z</cp:lastPrinted>
  <dcterms:created xsi:type="dcterms:W3CDTF">2010-04-21T01:18:24Z</dcterms:created>
  <dcterms:modified xsi:type="dcterms:W3CDTF">2022-10-29T04:19:32Z</dcterms:modified>
  <cp:category>Budget</cp:category>
  <cp:contentStatus>New</cp:contentStatus>
</cp:coreProperties>
</file>