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8"/>
  </bookViews>
  <sheets>
    <sheet name="rev_exp" sheetId="12" r:id="rId1"/>
    <sheet name="1.Directions" sheetId="4" r:id="rId2"/>
    <sheet name="2.Performance_Items" sheetId="1" r:id="rId3"/>
    <sheet name="3.Pay Level" sheetId="9" r:id="rId4"/>
    <sheet name="4.Fringe_Benefits" sheetId="7" r:id="rId5"/>
    <sheet name="5.Budget_Items" sheetId="2" r:id="rId6"/>
    <sheet name="Activity Cost" sheetId="5" r:id="rId7"/>
    <sheet name="Pay Levels" sheetId="8" state="hidden" r:id="rId8"/>
    <sheet name="line item" sheetId="10" r:id="rId9"/>
    <sheet name="Summary" sheetId="11" r:id="rId10"/>
  </sheets>
  <definedNames>
    <definedName name="_xlnm.Print_Area" localSheetId="2">'2.Performance_Items'!$A$2:$M$15</definedName>
  </definedNames>
  <calcPr calcId="152511"/>
</workbook>
</file>

<file path=xl/calcChain.xml><?xml version="1.0" encoding="utf-8"?>
<calcChain xmlns="http://schemas.openxmlformats.org/spreadsheetml/2006/main">
  <c r="F21" i="10" l="1"/>
  <c r="B42" i="2"/>
  <c r="B41" i="2"/>
  <c r="G25" i="12" l="1"/>
  <c r="F40" i="2"/>
  <c r="H40" i="2"/>
  <c r="J40" i="2"/>
  <c r="L40" i="2"/>
  <c r="G20" i="12"/>
  <c r="G18" i="12"/>
  <c r="G17" i="12"/>
  <c r="G16" i="12"/>
  <c r="G15" i="12"/>
  <c r="G14" i="12"/>
  <c r="G13" i="12"/>
  <c r="G101" i="12"/>
  <c r="I46" i="12"/>
  <c r="I42" i="12"/>
  <c r="I38" i="12"/>
  <c r="G9" i="12"/>
  <c r="G26" i="12"/>
  <c r="G28" i="12"/>
  <c r="E9" i="12"/>
  <c r="E26" i="12"/>
  <c r="E28" i="12"/>
  <c r="H7" i="2"/>
  <c r="L7" i="2"/>
  <c r="H8" i="2"/>
  <c r="L8" i="2"/>
  <c r="H9" i="2"/>
  <c r="L9" i="2"/>
  <c r="H10" i="2"/>
  <c r="L10" i="2"/>
  <c r="H11" i="2"/>
  <c r="L11" i="2"/>
  <c r="H12" i="2"/>
  <c r="L12" i="2"/>
  <c r="H13" i="2"/>
  <c r="L13" i="2"/>
  <c r="H14" i="2"/>
  <c r="L14" i="2"/>
  <c r="H15" i="2"/>
  <c r="L15" i="2"/>
  <c r="L16" i="2"/>
  <c r="J16" i="2"/>
  <c r="H16" i="2"/>
  <c r="F16" i="2"/>
  <c r="J15" i="2"/>
  <c r="J14" i="2"/>
  <c r="J13" i="2"/>
  <c r="J12" i="2"/>
  <c r="J11" i="2"/>
  <c r="J10" i="2"/>
  <c r="J9" i="2"/>
  <c r="J8" i="2"/>
  <c r="J7" i="2"/>
  <c r="J6" i="2"/>
  <c r="F13" i="2"/>
  <c r="F12" i="2"/>
  <c r="F11" i="2"/>
  <c r="F10" i="2"/>
  <c r="F15" i="2"/>
  <c r="F48" i="2"/>
  <c r="H48" i="2"/>
  <c r="J48" i="2"/>
  <c r="L48" i="2"/>
  <c r="K48" i="2"/>
  <c r="F42" i="2"/>
  <c r="H42" i="2"/>
  <c r="J42" i="2"/>
  <c r="J43" i="2" s="1"/>
  <c r="F7" i="5" s="1"/>
  <c r="H7" i="5" s="1"/>
  <c r="L42" i="2"/>
  <c r="K42" i="2"/>
  <c r="F41" i="2"/>
  <c r="L41" i="2" s="1"/>
  <c r="H41" i="2"/>
  <c r="J41" i="2"/>
  <c r="K41" i="2"/>
  <c r="K40" i="2"/>
  <c r="F39" i="2"/>
  <c r="H39" i="2"/>
  <c r="J39" i="2"/>
  <c r="L39" i="2"/>
  <c r="K39" i="2"/>
  <c r="F38" i="2"/>
  <c r="H38" i="2"/>
  <c r="J38" i="2"/>
  <c r="L38" i="2"/>
  <c r="K38" i="2"/>
  <c r="F32" i="2"/>
  <c r="H32" i="2"/>
  <c r="J32" i="2"/>
  <c r="L32" i="2"/>
  <c r="K32" i="2"/>
  <c r="F31" i="2"/>
  <c r="H31" i="2"/>
  <c r="J31" i="2"/>
  <c r="L31" i="2"/>
  <c r="K31" i="2"/>
  <c r="F30" i="2"/>
  <c r="H30" i="2"/>
  <c r="J30" i="2"/>
  <c r="L30" i="2"/>
  <c r="K30" i="2"/>
  <c r="F29" i="2"/>
  <c r="H29" i="2"/>
  <c r="J29" i="2"/>
  <c r="L29" i="2"/>
  <c r="K29" i="2"/>
  <c r="F23" i="2"/>
  <c r="H23" i="2"/>
  <c r="J23" i="2"/>
  <c r="L23" i="2"/>
  <c r="K23" i="2"/>
  <c r="F22" i="2"/>
  <c r="H22" i="2"/>
  <c r="J22" i="2"/>
  <c r="L22" i="2"/>
  <c r="K22" i="2"/>
  <c r="F21" i="2"/>
  <c r="H21" i="2"/>
  <c r="J21" i="2"/>
  <c r="L21" i="2"/>
  <c r="K21" i="2"/>
  <c r="K15" i="2"/>
  <c r="F14" i="2"/>
  <c r="K14" i="2"/>
  <c r="K13" i="2"/>
  <c r="K12" i="2"/>
  <c r="K11" i="2"/>
  <c r="K10" i="2"/>
  <c r="F9" i="2"/>
  <c r="K9" i="2"/>
  <c r="F8" i="2"/>
  <c r="K8" i="2"/>
  <c r="F7" i="2"/>
  <c r="K7" i="2"/>
  <c r="F6" i="2"/>
  <c r="H6" i="2"/>
  <c r="L6" i="2"/>
  <c r="K6" i="2"/>
  <c r="L5" i="2"/>
  <c r="K5" i="2"/>
  <c r="L4" i="2"/>
  <c r="K4" i="2"/>
  <c r="B4" i="2"/>
  <c r="B5" i="2"/>
  <c r="B6" i="2"/>
  <c r="B7" i="2"/>
  <c r="B8" i="2"/>
  <c r="B9" i="2"/>
  <c r="B10" i="2"/>
  <c r="B11" i="2"/>
  <c r="B12" i="2"/>
  <c r="B13" i="2"/>
  <c r="B14" i="2"/>
  <c r="B16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D16" i="2"/>
  <c r="C16" i="2"/>
  <c r="G13" i="7"/>
  <c r="Q16" i="9"/>
  <c r="R15" i="9"/>
  <c r="Q15" i="9"/>
  <c r="P15" i="9"/>
  <c r="O15" i="9"/>
  <c r="G2" i="7"/>
  <c r="G3" i="7"/>
  <c r="G4" i="7"/>
  <c r="G5" i="7"/>
  <c r="G6" i="7"/>
  <c r="G7" i="7"/>
  <c r="G8" i="7"/>
  <c r="G9" i="7"/>
  <c r="G10" i="7"/>
  <c r="G11" i="7"/>
  <c r="G12" i="7"/>
  <c r="G14" i="7"/>
  <c r="F14" i="7"/>
  <c r="E14" i="7"/>
  <c r="D14" i="7"/>
  <c r="C14" i="7"/>
  <c r="B14" i="7"/>
  <c r="B13" i="7"/>
  <c r="B12" i="7"/>
  <c r="C12" i="7"/>
  <c r="F12" i="7"/>
  <c r="B11" i="7"/>
  <c r="C11" i="7"/>
  <c r="F11" i="7"/>
  <c r="B10" i="7"/>
  <c r="C10" i="7"/>
  <c r="F10" i="7"/>
  <c r="B9" i="7"/>
  <c r="C9" i="7"/>
  <c r="F9" i="7"/>
  <c r="B8" i="7"/>
  <c r="C8" i="7"/>
  <c r="F8" i="7"/>
  <c r="B7" i="7"/>
  <c r="C7" i="7"/>
  <c r="F7" i="7"/>
  <c r="B6" i="7"/>
  <c r="C6" i="7"/>
  <c r="F6" i="7"/>
  <c r="B5" i="7"/>
  <c r="C5" i="7"/>
  <c r="F5" i="7"/>
  <c r="B4" i="7"/>
  <c r="C4" i="7"/>
  <c r="F4" i="7"/>
  <c r="B3" i="7"/>
  <c r="C3" i="7"/>
  <c r="F3" i="7"/>
  <c r="O9" i="9"/>
  <c r="P9" i="9"/>
  <c r="Q9" i="9"/>
  <c r="R9" i="9"/>
  <c r="O8" i="9"/>
  <c r="P8" i="9"/>
  <c r="Q8" i="9"/>
  <c r="R8" i="9"/>
  <c r="O7" i="9"/>
  <c r="P7" i="9"/>
  <c r="Q7" i="9"/>
  <c r="R7" i="9"/>
  <c r="O6" i="9"/>
  <c r="P6" i="9"/>
  <c r="Q6" i="9"/>
  <c r="R6" i="9"/>
  <c r="O5" i="9"/>
  <c r="P5" i="9"/>
  <c r="Q5" i="9"/>
  <c r="R5" i="9"/>
  <c r="J15" i="9"/>
  <c r="B49" i="2"/>
  <c r="O3" i="9"/>
  <c r="P3" i="9"/>
  <c r="Q3" i="9"/>
  <c r="B2" i="7"/>
  <c r="C2" i="7"/>
  <c r="F2" i="7"/>
  <c r="O4" i="9"/>
  <c r="P4" i="9"/>
  <c r="Q4" i="9"/>
  <c r="O10" i="9"/>
  <c r="P10" i="9"/>
  <c r="Q10" i="9"/>
  <c r="O11" i="9"/>
  <c r="P11" i="9"/>
  <c r="Q11" i="9"/>
  <c r="O12" i="9"/>
  <c r="P12" i="9"/>
  <c r="Q12" i="9"/>
  <c r="O13" i="9"/>
  <c r="P13" i="9"/>
  <c r="Q13" i="9"/>
  <c r="B24" i="2"/>
  <c r="B33" i="2"/>
  <c r="B43" i="2"/>
  <c r="B51" i="2"/>
  <c r="F4" i="2"/>
  <c r="H4" i="2"/>
  <c r="J4" i="2"/>
  <c r="F5" i="2"/>
  <c r="H5" i="2"/>
  <c r="J5" i="2"/>
  <c r="F8" i="10"/>
  <c r="F6" i="10"/>
  <c r="F7" i="10"/>
  <c r="F9" i="10"/>
  <c r="F10" i="10"/>
  <c r="F11" i="10"/>
  <c r="F12" i="10"/>
  <c r="F19" i="10"/>
  <c r="F18" i="10"/>
  <c r="F17" i="10"/>
  <c r="L24" i="2"/>
  <c r="F14" i="10"/>
  <c r="L33" i="2"/>
  <c r="F15" i="10"/>
  <c r="L49" i="2"/>
  <c r="F23" i="10"/>
  <c r="C6" i="5"/>
  <c r="H43" i="2"/>
  <c r="F6" i="5" s="1"/>
  <c r="H6" i="5" s="1"/>
  <c r="H24" i="2"/>
  <c r="D6" i="5"/>
  <c r="H33" i="2"/>
  <c r="E6" i="5"/>
  <c r="H49" i="2"/>
  <c r="G6" i="5"/>
  <c r="C7" i="5"/>
  <c r="J24" i="2"/>
  <c r="D7" i="5"/>
  <c r="J33" i="2"/>
  <c r="E7" i="5"/>
  <c r="J49" i="2"/>
  <c r="G7" i="5"/>
  <c r="C5" i="5"/>
  <c r="F24" i="2"/>
  <c r="D5" i="5"/>
  <c r="F33" i="2"/>
  <c r="E5" i="5"/>
  <c r="F49" i="2"/>
  <c r="G5" i="5"/>
  <c r="B7" i="5"/>
  <c r="B5" i="5"/>
  <c r="B6" i="5"/>
  <c r="I24" i="2"/>
  <c r="R13" i="9"/>
  <c r="R12" i="9"/>
  <c r="R11" i="9"/>
  <c r="R10" i="9"/>
  <c r="R4" i="9"/>
  <c r="R3" i="9"/>
  <c r="F15" i="9"/>
  <c r="G8" i="5"/>
  <c r="D8" i="5"/>
  <c r="E8" i="5"/>
  <c r="C8" i="5"/>
  <c r="N9" i="11" l="1"/>
  <c r="N7" i="11"/>
  <c r="F20" i="10"/>
  <c r="F24" i="10" s="1"/>
  <c r="L43" i="2"/>
  <c r="F43" i="2"/>
  <c r="F5" i="5" s="1"/>
  <c r="H5" i="5" l="1"/>
  <c r="F8" i="5"/>
  <c r="N5" i="11" l="1"/>
  <c r="N11" i="11" s="1"/>
  <c r="H8" i="5"/>
  <c r="I6" i="5" l="1"/>
  <c r="I7" i="5"/>
  <c r="I5" i="5"/>
  <c r="I8" i="5" s="1"/>
</calcChain>
</file>

<file path=xl/sharedStrings.xml><?xml version="1.0" encoding="utf-8"?>
<sst xmlns="http://schemas.openxmlformats.org/spreadsheetml/2006/main" count="410" uniqueCount="219">
  <si>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</si>
  <si>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</si>
  <si>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</si>
  <si>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</si>
  <si>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Personnel Listing</t>
  </si>
  <si>
    <t>Travel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</si>
  <si>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</si>
  <si>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</si>
  <si>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</si>
  <si>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</si>
  <si>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</si>
  <si>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</si>
  <si>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</si>
  <si>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</si>
  <si>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</si>
  <si>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</si>
  <si>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</si>
  <si>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</si>
  <si>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</si>
  <si>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</si>
  <si>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</si>
  <si>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</si>
  <si>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</si>
  <si>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</si>
  <si>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</si>
  <si>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</si>
  <si>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</si>
  <si>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</si>
  <si>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</si>
  <si>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</si>
  <si>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</si>
  <si>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</si>
  <si>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</si>
  <si>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</si>
  <si>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</si>
  <si>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</si>
  <si>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</si>
  <si>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</si>
  <si>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</si>
  <si>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</si>
  <si>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</si>
  <si>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</si>
  <si>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</si>
  <si>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</si>
  <si>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</si>
  <si>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</si>
  <si>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</si>
  <si>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</si>
  <si>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</si>
  <si>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</si>
  <si>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</si>
  <si>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</si>
  <si>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</si>
  <si>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</si>
  <si>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</si>
  <si>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</si>
  <si>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</si>
  <si>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</si>
  <si>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</si>
  <si>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</si>
  <si>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</si>
  <si>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</si>
  <si>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</si>
  <si>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</si>
  <si>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</si>
  <si>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</si>
  <si>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</si>
  <si>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</si>
  <si>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</si>
  <si>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</si>
  <si>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</si>
  <si>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</si>
  <si>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</si>
  <si>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</si>
  <si>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</si>
  <si>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</si>
  <si>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Unit's Mission Statement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</si>
  <si>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</si>
  <si>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</si>
  <si>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</si>
  <si>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</si>
  <si>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</si>
  <si>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</si>
  <si>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</si>
  <si>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Membership Dues/Subscriptions</t>
    <phoneticPr fontId="2" type="noConversion"/>
  </si>
  <si>
    <t>College of Micronesia-FSM</t>
  </si>
  <si>
    <t xml:space="preserve">Admissions &amp; Records 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</si>
  <si>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</si>
  <si>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</si>
  <si>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</si>
  <si>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</si>
  <si>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</si>
  <si>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</si>
  <si>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SS tax= 7.5% (not to exceed $2,100 annual)</t>
  </si>
  <si>
    <t>Summary of Strategies with Corresponding Budget</t>
  </si>
  <si>
    <t>BUSINESS OFFICE</t>
  </si>
  <si>
    <t>To be able to provide the necessary services for the students (registration, refund, workstudy payroll)</t>
  </si>
  <si>
    <t>Develop a systematic working schedule to accommodate the special needs of students</t>
  </si>
  <si>
    <t>Effectiveness and Efficiency of Operations</t>
  </si>
  <si>
    <t>To provide and maintain the budget certification and reporting processing</t>
  </si>
  <si>
    <t>Fair presentation of Financial Statements</t>
  </si>
  <si>
    <t>Ensure accurate and timely preparation of Financial Statements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</si>
  <si>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</si>
  <si>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FY 2016</t>
  </si>
  <si>
    <t>FY 2017</t>
  </si>
  <si>
    <t>Office/Division Name</t>
    <phoneticPr fontId="2" type="noConversion"/>
  </si>
  <si>
    <t>C</t>
  </si>
  <si>
    <t>B</t>
  </si>
  <si>
    <t>L</t>
  </si>
  <si>
    <t>D</t>
  </si>
  <si>
    <t>A</t>
  </si>
  <si>
    <t>Increase</t>
  </si>
  <si>
    <t xml:space="preserve">Activity </t>
  </si>
  <si>
    <t>Expenditure Budget-FY 2017</t>
  </si>
  <si>
    <t>Contracts</t>
  </si>
  <si>
    <t>Audit/Legal/Professional Fees</t>
  </si>
  <si>
    <t>Insurance</t>
  </si>
  <si>
    <t>Machineries and equip.</t>
  </si>
  <si>
    <t>Food S. Mgr.</t>
  </si>
  <si>
    <t>R.Romero</t>
  </si>
  <si>
    <t>M</t>
  </si>
  <si>
    <t>Asst Sup.</t>
  </si>
  <si>
    <t>A.Alexander</t>
  </si>
  <si>
    <t>Cook 111</t>
  </si>
  <si>
    <t>On contract</t>
  </si>
  <si>
    <t>E</t>
  </si>
  <si>
    <t>Cook 11.</t>
  </si>
  <si>
    <t>M.Baker</t>
  </si>
  <si>
    <t>Cook 1</t>
  </si>
  <si>
    <t>V.Rosario</t>
  </si>
  <si>
    <t>P. Primo</t>
  </si>
  <si>
    <t>M.Samuel</t>
  </si>
  <si>
    <t>J.Kapriel</t>
  </si>
  <si>
    <t>N.Meninzor</t>
  </si>
  <si>
    <t>T.Meninzor</t>
  </si>
  <si>
    <t>15% night differential</t>
  </si>
  <si>
    <t xml:space="preserve"> various</t>
  </si>
  <si>
    <t>Dining Hall is committed to serve nutritious meals to students, faculty and staffs everyday and on-time.</t>
  </si>
  <si>
    <t xml:space="preserve">Provide institutional support to foster student success and satisfaction
                                                                               </t>
  </si>
  <si>
    <t>To be able to serve three nutritious meals on time.</t>
  </si>
  <si>
    <t>To cook three nutritious meals (breakfast, lunch, dinner) everyday.</t>
  </si>
  <si>
    <t>Three meals are served daily to students and other patrons.</t>
  </si>
  <si>
    <t>Above average customer service</t>
  </si>
  <si>
    <t>To provide good customer service at all times.</t>
  </si>
  <si>
    <t>1.1.1</t>
  </si>
  <si>
    <t>2.1.1</t>
  </si>
  <si>
    <t>Patron are provided with good customer service</t>
  </si>
  <si>
    <t>Break-even financial operations.</t>
  </si>
  <si>
    <t>To determine and monitor the revenue and expenditures of dining hall.</t>
  </si>
  <si>
    <t>3.1.1</t>
  </si>
  <si>
    <t>Dining Hall revenue is sufficient to fund its operating expenditures.</t>
  </si>
  <si>
    <t>Fuel</t>
  </si>
  <si>
    <t>College of Micronesia - FSM</t>
  </si>
  <si>
    <t>421 Dining Hall</t>
  </si>
  <si>
    <t>Projected Statement of Revenues and Expenditures</t>
  </si>
  <si>
    <t>Service charge revenue:</t>
  </si>
  <si>
    <t>Sales</t>
  </si>
  <si>
    <t>Less: Cost of Goods Sold</t>
  </si>
  <si>
    <t xml:space="preserve">      Gross Profit</t>
  </si>
  <si>
    <t>Operating expenses:</t>
  </si>
  <si>
    <t>Salaries</t>
  </si>
  <si>
    <t>Social Security</t>
  </si>
  <si>
    <t>Other Current Expenditures</t>
  </si>
  <si>
    <t>Supplies</t>
  </si>
  <si>
    <t>Repairs and maintenance</t>
  </si>
  <si>
    <t>Computer</t>
  </si>
  <si>
    <t>Machinery and equipment</t>
  </si>
  <si>
    <t>Net service charge</t>
  </si>
  <si>
    <t>FY 2015 Operating Revenue Assumptions:</t>
  </si>
  <si>
    <t># of Customers</t>
  </si>
  <si>
    <t>School Week</t>
  </si>
  <si>
    <t>Days</t>
  </si>
  <si>
    <t>Meal Rate</t>
  </si>
  <si>
    <t>Revenue</t>
  </si>
  <si>
    <t>Residence Hall and Non Residence Hall students</t>
  </si>
  <si>
    <t>Fall</t>
  </si>
  <si>
    <t>Residence Hall students</t>
  </si>
  <si>
    <t>Non Residence Hall students</t>
  </si>
  <si>
    <t>Spring</t>
  </si>
  <si>
    <t>Summer</t>
  </si>
  <si>
    <t>Residence Halls students</t>
  </si>
  <si>
    <t>Non Residence Halls students</t>
  </si>
  <si>
    <t>Sales for RH and non RH students</t>
  </si>
  <si>
    <t>Other Patrons</t>
  </si>
  <si>
    <t>Staff/faculty</t>
  </si>
  <si>
    <t>Others</t>
  </si>
  <si>
    <t>Non COM-FSM</t>
  </si>
  <si>
    <t>Take-outs for COM-FSM</t>
  </si>
  <si>
    <t>Take-outs for Non COM-FSM</t>
  </si>
  <si>
    <t>Sales for other patrons</t>
  </si>
  <si>
    <t>Total sales</t>
  </si>
  <si>
    <t>Assumptions:</t>
  </si>
  <si>
    <t>Revenue:</t>
  </si>
  <si>
    <t>Meal Rates</t>
  </si>
  <si>
    <t>Rates</t>
  </si>
  <si>
    <t>COM-FSM</t>
  </si>
  <si>
    <t>Breakfast</t>
  </si>
  <si>
    <t>Lunch</t>
  </si>
  <si>
    <t>Dinner</t>
  </si>
  <si>
    <t>Numbers of School Week</t>
  </si>
  <si>
    <t>Occupancy rate of 80% for regular semester and 50% for summer.</t>
  </si>
  <si>
    <t>Cost of sales:</t>
  </si>
  <si>
    <t>Justification:  The amount requested is to cover the cost of meat, rice, chicken,</t>
  </si>
  <si>
    <t>fish, vegetables, fruits, poultry products, noodles, flour, local produce</t>
  </si>
  <si>
    <t>and other food products.</t>
  </si>
  <si>
    <t>Calculation:  Based on the following:</t>
  </si>
  <si>
    <t>The average amount of purchase per week is $10,000 based on the following</t>
  </si>
  <si>
    <t>menu:</t>
  </si>
  <si>
    <t xml:space="preserve">Beef </t>
  </si>
  <si>
    <t>2-3 times a week</t>
  </si>
  <si>
    <t>Chicken</t>
  </si>
  <si>
    <t>Pork</t>
  </si>
  <si>
    <t>2-4 times a week</t>
  </si>
  <si>
    <t>Fish</t>
  </si>
  <si>
    <t>Turkey parts - once a week</t>
  </si>
  <si>
    <t>Estimated cost of food items per week</t>
  </si>
  <si>
    <t>Number of weeks</t>
  </si>
  <si>
    <t>Repairs &amp; Maintenance</t>
  </si>
  <si>
    <t>Machineries &amp; Equipments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</si>
</sst>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m/d/yyyy;@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238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1" fillId="2" borderId="5" xfId="0" applyFont="1" applyFill="1" applyBorder="1" applyAlignment="1">
      <alignment horizontal="center"/>
    </xf>
    <xf numFmtId="164" fontId="11" fillId="2" borderId="6" xfId="2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164" fontId="6" fillId="0" borderId="9" xfId="0" applyNumberFormat="1" applyFont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5" xfId="1" applyFont="1" applyFill="1" applyBorder="1" applyAlignment="1">
      <alignment horizontal="center"/>
    </xf>
    <xf numFmtId="43" fontId="6" fillId="0" borderId="9" xfId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Font="1" applyBorder="1"/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19" xfId="0" applyFont="1" applyBorder="1" applyAlignment="1">
      <alignment vertical="top" wrapText="1"/>
    </xf>
    <xf numFmtId="43" fontId="0" fillId="0" borderId="0" xfId="0" applyNumberFormat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/>
    <xf numFmtId="0" fontId="17" fillId="0" borderId="0" xfId="0" applyFont="1"/>
    <xf numFmtId="44" fontId="18" fillId="0" borderId="13" xfId="2" applyFont="1" applyFill="1" applyBorder="1"/>
    <xf numFmtId="44" fontId="18" fillId="0" borderId="0" xfId="0" applyNumberFormat="1" applyFont="1"/>
    <xf numFmtId="0" fontId="18" fillId="0" borderId="0" xfId="0" applyFont="1"/>
    <xf numFmtId="0" fontId="16" fillId="0" borderId="0" xfId="0" applyFont="1" applyBorder="1"/>
    <xf numFmtId="168" fontId="16" fillId="0" borderId="1" xfId="1" applyNumberFormat="1" applyFont="1" applyBorder="1"/>
    <xf numFmtId="0" fontId="16" fillId="0" borderId="0" xfId="0" applyFont="1" applyFill="1" applyBorder="1" applyAlignment="1">
      <alignment horizontal="center"/>
    </xf>
    <xf numFmtId="43" fontId="6" fillId="0" borderId="0" xfId="2" applyNumberFormat="1" applyFont="1"/>
    <xf numFmtId="164" fontId="5" fillId="0" borderId="13" xfId="0" applyNumberFormat="1" applyFont="1" applyBorder="1"/>
    <xf numFmtId="168" fontId="6" fillId="0" borderId="0" xfId="1" applyNumberFormat="1" applyFont="1" applyBorder="1"/>
    <xf numFmtId="0" fontId="20" fillId="10" borderId="0" xfId="5"/>
    <xf numFmtId="0" fontId="19" fillId="9" borderId="0" xfId="4"/>
    <xf numFmtId="168" fontId="13" fillId="0" borderId="0" xfId="1" applyNumberFormat="1" applyFont="1" applyBorder="1"/>
    <xf numFmtId="168" fontId="13" fillId="6" borderId="0" xfId="1" applyNumberFormat="1" applyFont="1" applyFill="1" applyBorder="1" applyAlignment="1">
      <alignment horizontal="right"/>
    </xf>
    <xf numFmtId="0" fontId="3" fillId="0" borderId="0" xfId="0" applyFont="1" applyBorder="1"/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vertical="center"/>
    </xf>
    <xf numFmtId="0" fontId="0" fillId="0" borderId="31" xfId="0" applyBorder="1" applyAlignment="1">
      <alignment wrapText="1"/>
    </xf>
    <xf numFmtId="0" fontId="10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49" fontId="6" fillId="0" borderId="29" xfId="0" applyNumberFormat="1" applyFont="1" applyBorder="1" applyAlignment="1">
      <alignment horizontal="left" wrapText="1"/>
    </xf>
    <xf numFmtId="0" fontId="6" fillId="0" borderId="32" xfId="0" applyFont="1" applyBorder="1" applyAlignment="1">
      <alignment horizontal="left" indent="6"/>
    </xf>
    <xf numFmtId="0" fontId="6" fillId="5" borderId="3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wrapText="1"/>
    </xf>
    <xf numFmtId="0" fontId="6" fillId="0" borderId="32" xfId="0" applyFont="1" applyBorder="1" applyAlignment="1">
      <alignment horizontal="left"/>
    </xf>
    <xf numFmtId="0" fontId="6" fillId="5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left" indent="6"/>
    </xf>
    <xf numFmtId="0" fontId="6" fillId="0" borderId="35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164" fontId="11" fillId="2" borderId="16" xfId="2" applyNumberFormat="1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22" xfId="0" applyFont="1" applyFill="1" applyBorder="1" applyAlignment="1"/>
    <xf numFmtId="43" fontId="4" fillId="0" borderId="2" xfId="2" applyNumberFormat="1" applyFont="1" applyBorder="1"/>
    <xf numFmtId="3" fontId="4" fillId="0" borderId="2" xfId="1" applyNumberFormat="1" applyFont="1" applyBorder="1"/>
    <xf numFmtId="3" fontId="15" fillId="0" borderId="2" xfId="1" applyNumberFormat="1" applyFont="1" applyBorder="1"/>
    <xf numFmtId="0" fontId="21" fillId="0" borderId="0" xfId="0" applyFont="1"/>
    <xf numFmtId="37" fontId="0" fillId="0" borderId="0" xfId="0" applyNumberFormat="1"/>
    <xf numFmtId="43" fontId="13" fillId="0" borderId="0" xfId="2" applyNumberFormat="1" applyFont="1"/>
    <xf numFmtId="44" fontId="6" fillId="0" borderId="13" xfId="2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15" fontId="22" fillId="0" borderId="0" xfId="0" applyNumberFormat="1" applyFont="1" applyBorder="1"/>
    <xf numFmtId="168" fontId="0" fillId="0" borderId="0" xfId="0" applyNumberFormat="1"/>
    <xf numFmtId="43" fontId="16" fillId="0" borderId="1" xfId="1" applyFont="1" applyBorder="1" applyAlignment="1">
      <alignment horizontal="right"/>
    </xf>
    <xf numFmtId="169" fontId="23" fillId="0" borderId="0" xfId="0" applyNumberFormat="1" applyFont="1" applyBorder="1" applyAlignment="1">
      <alignment horizontal="left"/>
    </xf>
    <xf numFmtId="169" fontId="23" fillId="0" borderId="0" xfId="0" applyNumberFormat="1" applyFont="1" applyAlignment="1">
      <alignment horizontal="left"/>
    </xf>
    <xf numFmtId="44" fontId="6" fillId="0" borderId="0" xfId="2" applyFont="1" applyBorder="1"/>
    <xf numFmtId="0" fontId="16" fillId="0" borderId="0" xfId="6"/>
    <xf numFmtId="0" fontId="24" fillId="0" borderId="0" xfId="6" applyFont="1" applyAlignment="1">
      <alignment horizont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/>
    <xf numFmtId="0" fontId="16" fillId="0" borderId="0" xfId="6" applyFont="1" applyBorder="1"/>
    <xf numFmtId="0" fontId="24" fillId="0" borderId="0" xfId="6" applyFont="1" applyBorder="1" applyAlignment="1">
      <alignment horizontal="left"/>
    </xf>
    <xf numFmtId="0" fontId="16" fillId="0" borderId="0" xfId="6" applyFont="1" applyBorder="1" applyAlignment="1">
      <alignment horizontal="left"/>
    </xf>
    <xf numFmtId="168" fontId="16" fillId="0" borderId="0" xfId="7" applyNumberFormat="1" applyFont="1" applyBorder="1" applyAlignment="1">
      <alignment horizontal="right"/>
    </xf>
    <xf numFmtId="168" fontId="16" fillId="0" borderId="1" xfId="7" applyNumberFormat="1" applyFont="1" applyBorder="1" applyAlignment="1">
      <alignment horizontal="right"/>
    </xf>
    <xf numFmtId="168" fontId="16" fillId="0" borderId="3" xfId="7" applyNumberFormat="1" applyFont="1" applyBorder="1"/>
    <xf numFmtId="168" fontId="16" fillId="0" borderId="0" xfId="7" applyNumberFormat="1" applyFont="1" applyBorder="1"/>
    <xf numFmtId="0" fontId="16" fillId="0" borderId="0" xfId="6" applyFont="1"/>
    <xf numFmtId="168" fontId="0" fillId="0" borderId="0" xfId="7" applyNumberFormat="1" applyFont="1"/>
    <xf numFmtId="168" fontId="0" fillId="0" borderId="1" xfId="7" applyNumberFormat="1" applyFont="1" applyBorder="1"/>
    <xf numFmtId="168" fontId="16" fillId="0" borderId="1" xfId="7" applyNumberFormat="1" applyFont="1" applyBorder="1"/>
    <xf numFmtId="168" fontId="16" fillId="0" borderId="9" xfId="6" applyNumberFormat="1" applyFont="1" applyBorder="1"/>
    <xf numFmtId="0" fontId="16" fillId="0" borderId="0" xfId="6" applyBorder="1"/>
    <xf numFmtId="0" fontId="25" fillId="0" borderId="0" xfId="6" applyFont="1" applyBorder="1" applyAlignment="1">
      <alignment horizontal="center" wrapText="1"/>
    </xf>
    <xf numFmtId="0" fontId="26" fillId="0" borderId="0" xfId="6" applyFont="1" applyBorder="1" applyAlignment="1">
      <alignment horizontal="center" wrapText="1"/>
    </xf>
    <xf numFmtId="0" fontId="16" fillId="0" borderId="0" xfId="6" applyAlignment="1">
      <alignment horizontal="center"/>
    </xf>
    <xf numFmtId="168" fontId="0" fillId="0" borderId="0" xfId="7" applyNumberFormat="1" applyFont="1" applyAlignment="1">
      <alignment horizontal="center"/>
    </xf>
    <xf numFmtId="0" fontId="27" fillId="0" borderId="0" xfId="6" applyFont="1"/>
    <xf numFmtId="0" fontId="16" fillId="0" borderId="0" xfId="6" applyBorder="1" applyAlignment="1">
      <alignment horizontal="center"/>
    </xf>
    <xf numFmtId="43" fontId="0" fillId="0" borderId="0" xfId="7" applyFont="1" applyBorder="1" applyAlignment="1">
      <alignment horizontal="center"/>
    </xf>
    <xf numFmtId="168" fontId="0" fillId="0" borderId="3" xfId="7" applyNumberFormat="1" applyFont="1" applyBorder="1"/>
    <xf numFmtId="0" fontId="24" fillId="0" borderId="0" xfId="6" applyFont="1" applyBorder="1"/>
    <xf numFmtId="168" fontId="24" fillId="0" borderId="38" xfId="7" applyNumberFormat="1" applyFont="1" applyBorder="1"/>
    <xf numFmtId="168" fontId="24" fillId="0" borderId="0" xfId="7" applyNumberFormat="1" applyFont="1" applyBorder="1"/>
    <xf numFmtId="168" fontId="24" fillId="0" borderId="9" xfId="7" applyNumberFormat="1" applyFont="1" applyBorder="1"/>
    <xf numFmtId="0" fontId="25" fillId="0" borderId="0" xfId="6" applyFont="1" applyAlignment="1">
      <alignment horizontal="center" wrapText="1"/>
    </xf>
    <xf numFmtId="43" fontId="16" fillId="0" borderId="0" xfId="7" applyFont="1"/>
    <xf numFmtId="43" fontId="0" fillId="0" borderId="0" xfId="7" applyFont="1"/>
    <xf numFmtId="168" fontId="16" fillId="0" borderId="0" xfId="7" applyNumberFormat="1" applyFont="1"/>
    <xf numFmtId="168" fontId="24" fillId="0" borderId="13" xfId="6" applyNumberFormat="1" applyFont="1" applyBorder="1"/>
    <xf numFmtId="49" fontId="16" fillId="0" borderId="0" xfId="6" applyNumberFormat="1"/>
    <xf numFmtId="0" fontId="24" fillId="0" borderId="0" xfId="6" applyFont="1" applyAlignment="1">
      <alignment horizontal="center"/>
    </xf>
    <xf numFmtId="0" fontId="24" fillId="0" borderId="1" xfId="6" applyFont="1" applyBorder="1" applyAlignment="1">
      <alignment horizontal="center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9" fontId="6" fillId="0" borderId="29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49" fontId="6" fillId="0" borderId="33" xfId="0" applyNumberFormat="1" applyFont="1" applyBorder="1" applyAlignment="1">
      <alignment horizontal="left" wrapText="1"/>
    </xf>
    <xf numFmtId="0" fontId="9" fillId="2" borderId="23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6" fillId="0" borderId="26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44" fontId="14" fillId="0" borderId="0" xfId="2" applyFont="1" applyBorder="1" applyAlignment="1">
      <alignment horizontal="left"/>
    </xf>
    <xf numFmtId="49" fontId="6" fillId="0" borderId="22" xfId="0" applyNumberFormat="1" applyFont="1" applyBorder="1" applyAlignment="1">
      <alignment horizontal="left" wrapText="1"/>
    </xf>
  </cellXfs>
  <cellStyles count="8">
    <cellStyle name="Comma" xfId="1" builtinId="3"/>
    <cellStyle name="Comma 2" xfId="7"/>
    <cellStyle name="Currency" xfId="2" builtinId="4"/>
    <cellStyle name="Good" xfId="4" builtinId="26"/>
    <cellStyle name="Neutral" xfId="5" builtinId="28"/>
    <cellStyle name="Normal" xfId="0" builtinId="0"/>
    <cellStyle name="Normal 2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13" workbookViewId="0">
      <selection activeCell="I7" sqref="I7"/>
    </sheetView>
  </sheetViews>
  <sheetFormatPr defaultRowHeight="12.75"/>
  <cols>
    <col min="1" max="1" width="4.5703125" style="167" customWidth="1"/>
    <col min="2" max="2" width="4.28515625" style="167" customWidth="1"/>
    <col min="3" max="3" width="20.7109375" style="167" customWidth="1"/>
    <col min="4" max="4" width="11.140625" style="167" customWidth="1"/>
    <col min="5" max="7" width="10.7109375" style="167" customWidth="1"/>
    <col min="8" max="8" width="2.42578125" style="167" customWidth="1"/>
    <col min="9" max="9" width="11.28515625" style="167" bestFit="1" customWidth="1"/>
    <col min="10" max="16384" width="9.140625" style="167"/>
  </cols>
  <sheetData>
    <row r="1" spans="1:7">
      <c r="A1" s="202" t="s">
        <v>152</v>
      </c>
      <c r="B1" s="202"/>
      <c r="C1" s="202"/>
      <c r="D1" s="202"/>
      <c r="E1" s="202"/>
      <c r="F1" s="202"/>
      <c r="G1" s="202"/>
    </row>
    <row r="2" spans="1:7">
      <c r="A2" s="202" t="s">
        <v>153</v>
      </c>
      <c r="B2" s="202"/>
      <c r="C2" s="202"/>
      <c r="D2" s="202"/>
      <c r="E2" s="202"/>
      <c r="F2" s="202"/>
      <c r="G2" s="202"/>
    </row>
    <row r="3" spans="1:7">
      <c r="A3" s="202" t="s">
        <v>154</v>
      </c>
      <c r="B3" s="202"/>
      <c r="C3" s="202"/>
      <c r="D3" s="202"/>
      <c r="E3" s="202"/>
      <c r="F3" s="202"/>
      <c r="G3" s="202"/>
    </row>
    <row r="5" spans="1:7">
      <c r="A5" s="168"/>
      <c r="B5" s="168"/>
      <c r="C5" s="168"/>
      <c r="D5" s="168"/>
      <c r="E5" s="169" t="s">
        <v>103</v>
      </c>
      <c r="F5" s="168"/>
      <c r="G5" s="169" t="s">
        <v>104</v>
      </c>
    </row>
    <row r="6" spans="1:7">
      <c r="A6" s="170" t="s">
        <v>155</v>
      </c>
      <c r="B6" s="170"/>
      <c r="C6" s="171"/>
      <c r="D6" s="171"/>
    </row>
    <row r="7" spans="1:7">
      <c r="A7" s="170"/>
      <c r="B7" s="172" t="s">
        <v>156</v>
      </c>
      <c r="D7" s="173"/>
      <c r="E7" s="174">
        <v>884420</v>
      </c>
      <c r="F7" s="173"/>
      <c r="G7" s="174">
        <v>884420</v>
      </c>
    </row>
    <row r="8" spans="1:7">
      <c r="A8" s="170"/>
      <c r="B8" s="172" t="s">
        <v>157</v>
      </c>
      <c r="D8" s="173"/>
      <c r="E8" s="175">
        <v>650000</v>
      </c>
      <c r="F8" s="173"/>
      <c r="G8" s="175">
        <v>650000</v>
      </c>
    </row>
    <row r="9" spans="1:7">
      <c r="A9" s="170"/>
      <c r="B9" s="172" t="s">
        <v>158</v>
      </c>
      <c r="D9" s="173"/>
      <c r="E9" s="176">
        <f>SUM(E7-E8)</f>
        <v>234420</v>
      </c>
      <c r="F9" s="173"/>
      <c r="G9" s="176">
        <f>SUM(G7-G8)</f>
        <v>234420</v>
      </c>
    </row>
    <row r="10" spans="1:7">
      <c r="A10" s="170"/>
      <c r="B10" s="170"/>
      <c r="C10" s="172"/>
      <c r="D10" s="172"/>
      <c r="E10" s="177"/>
      <c r="F10" s="172"/>
      <c r="G10" s="177"/>
    </row>
    <row r="11" spans="1:7">
      <c r="A11" s="172" t="s">
        <v>159</v>
      </c>
      <c r="B11" s="172"/>
      <c r="C11" s="178"/>
      <c r="D11" s="178"/>
      <c r="E11" s="177"/>
      <c r="F11" s="178"/>
      <c r="G11" s="177"/>
    </row>
    <row r="12" spans="1:7">
      <c r="A12" s="172"/>
      <c r="B12" s="172" t="s">
        <v>79</v>
      </c>
      <c r="C12" s="178"/>
      <c r="D12" s="178"/>
      <c r="E12" s="177"/>
      <c r="F12" s="178"/>
      <c r="G12" s="177"/>
    </row>
    <row r="13" spans="1:7" ht="15">
      <c r="A13" s="170"/>
      <c r="C13" s="173" t="s">
        <v>160</v>
      </c>
      <c r="D13" s="173"/>
      <c r="E13" s="179">
        <v>135023</v>
      </c>
      <c r="F13" s="173"/>
      <c r="G13" s="179">
        <f>+'3.Pay Level'!Q15</f>
        <v>140062.5</v>
      </c>
    </row>
    <row r="14" spans="1:7" ht="15">
      <c r="A14" s="170"/>
      <c r="C14" s="173" t="s">
        <v>161</v>
      </c>
      <c r="D14" s="173"/>
      <c r="E14" s="179">
        <v>10127</v>
      </c>
      <c r="F14" s="173"/>
      <c r="G14" s="179">
        <f>+'4.Fringe_Benefits'!B14</f>
        <v>10504.6875</v>
      </c>
    </row>
    <row r="15" spans="1:7" ht="15">
      <c r="A15" s="170"/>
      <c r="C15" s="173" t="s">
        <v>17</v>
      </c>
      <c r="D15" s="173"/>
      <c r="E15" s="179">
        <v>1935</v>
      </c>
      <c r="F15" s="173"/>
      <c r="G15" s="179">
        <f>+'4.Fringe_Benefits'!F14</f>
        <v>2471.2350000000006</v>
      </c>
    </row>
    <row r="16" spans="1:7" ht="15">
      <c r="A16" s="170"/>
      <c r="C16" s="173" t="s">
        <v>16</v>
      </c>
      <c r="D16" s="173"/>
      <c r="E16" s="179">
        <v>2239</v>
      </c>
      <c r="F16" s="173"/>
      <c r="G16" s="179">
        <f>+'4.Fringe_Benefits'!E14</f>
        <v>2239</v>
      </c>
    </row>
    <row r="17" spans="1:7" ht="15">
      <c r="A17" s="170"/>
      <c r="C17" s="173" t="s">
        <v>14</v>
      </c>
      <c r="D17" s="173"/>
      <c r="E17" s="179">
        <v>3601</v>
      </c>
      <c r="F17" s="173"/>
      <c r="G17" s="179">
        <f>+'4.Fringe_Benefits'!C14</f>
        <v>3751.875</v>
      </c>
    </row>
    <row r="18" spans="1:7" ht="15">
      <c r="A18" s="170"/>
      <c r="C18" s="173" t="s">
        <v>15</v>
      </c>
      <c r="D18" s="173"/>
      <c r="E18" s="179">
        <v>7200</v>
      </c>
      <c r="F18" s="173"/>
      <c r="G18" s="179">
        <f>+'4.Fringe_Benefits'!D14</f>
        <v>7200</v>
      </c>
    </row>
    <row r="19" spans="1:7" ht="15">
      <c r="A19" s="170"/>
      <c r="B19" s="170" t="s">
        <v>162</v>
      </c>
      <c r="C19" s="173"/>
      <c r="D19" s="173"/>
      <c r="E19" s="179"/>
      <c r="F19" s="173"/>
      <c r="G19" s="179"/>
    </row>
    <row r="20" spans="1:7" ht="15">
      <c r="A20" s="170"/>
      <c r="C20" s="173" t="s">
        <v>163</v>
      </c>
      <c r="D20" s="173"/>
      <c r="E20" s="179">
        <v>33500</v>
      </c>
      <c r="F20" s="173"/>
      <c r="G20" s="179">
        <f>+'5.Budget_Items'!L40</f>
        <v>25000</v>
      </c>
    </row>
    <row r="21" spans="1:7" ht="15">
      <c r="A21" s="170"/>
      <c r="C21" s="173" t="s">
        <v>151</v>
      </c>
      <c r="D21" s="173"/>
      <c r="E21" s="179">
        <v>33000</v>
      </c>
      <c r="F21" s="173"/>
      <c r="G21" s="179">
        <v>30000</v>
      </c>
    </row>
    <row r="22" spans="1:7" ht="15">
      <c r="A22" s="170"/>
      <c r="C22" s="173" t="s">
        <v>164</v>
      </c>
      <c r="D22" s="173"/>
      <c r="E22" s="179">
        <v>2500</v>
      </c>
      <c r="F22" s="173"/>
      <c r="G22" s="179">
        <v>2500</v>
      </c>
    </row>
    <row r="23" spans="1:7" ht="15">
      <c r="A23" s="170"/>
      <c r="B23" s="170" t="s">
        <v>63</v>
      </c>
      <c r="C23" s="173"/>
      <c r="D23" s="173"/>
      <c r="E23" s="179"/>
      <c r="F23" s="173"/>
      <c r="G23" s="179"/>
    </row>
    <row r="24" spans="1:7" ht="15">
      <c r="A24" s="170"/>
      <c r="B24" s="170"/>
      <c r="C24" s="173" t="s">
        <v>165</v>
      </c>
      <c r="D24" s="173"/>
      <c r="E24" s="179">
        <v>0</v>
      </c>
      <c r="F24" s="173"/>
      <c r="G24" s="179">
        <v>0</v>
      </c>
    </row>
    <row r="25" spans="1:7" ht="15">
      <c r="A25" s="170"/>
      <c r="C25" s="173" t="s">
        <v>166</v>
      </c>
      <c r="D25" s="173"/>
      <c r="E25" s="180">
        <v>3000</v>
      </c>
      <c r="F25" s="173"/>
      <c r="G25" s="180">
        <f>+'5.Budget_Items'!L48</f>
        <v>10000</v>
      </c>
    </row>
    <row r="26" spans="1:7">
      <c r="A26" s="170"/>
      <c r="B26" s="170"/>
      <c r="C26" s="171"/>
      <c r="D26" s="171"/>
      <c r="E26" s="181">
        <f>SUM(E13:E25)</f>
        <v>232125</v>
      </c>
      <c r="F26" s="171"/>
      <c r="G26" s="181">
        <f>SUM(G13:G25)</f>
        <v>233729.29749999999</v>
      </c>
    </row>
    <row r="27" spans="1:7">
      <c r="A27" s="170"/>
      <c r="B27" s="170"/>
      <c r="C27" s="171"/>
      <c r="D27" s="171"/>
      <c r="E27" s="177"/>
      <c r="F27" s="171"/>
      <c r="G27" s="177"/>
    </row>
    <row r="28" spans="1:7" ht="13.5" thickBot="1">
      <c r="A28" s="170" t="s">
        <v>167</v>
      </c>
      <c r="B28" s="170"/>
      <c r="C28" s="178"/>
      <c r="D28" s="178"/>
      <c r="E28" s="182">
        <f>SUM(E9-E26)</f>
        <v>2295</v>
      </c>
      <c r="F28" s="178"/>
      <c r="G28" s="182">
        <f>SUM(G9-G26)</f>
        <v>690.70250000001397</v>
      </c>
    </row>
    <row r="29" spans="1:7" ht="13.5" thickTop="1"/>
    <row r="32" spans="1:7">
      <c r="A32" s="170" t="s">
        <v>168</v>
      </c>
    </row>
    <row r="33" spans="1:9" ht="24.75">
      <c r="C33" s="183"/>
      <c r="D33" s="184" t="s">
        <v>169</v>
      </c>
      <c r="E33" s="185" t="s">
        <v>170</v>
      </c>
      <c r="F33" s="185" t="s">
        <v>171</v>
      </c>
      <c r="G33" s="186" t="s">
        <v>172</v>
      </c>
      <c r="H33" s="186"/>
      <c r="I33" s="187" t="s">
        <v>173</v>
      </c>
    </row>
    <row r="34" spans="1:9" ht="15">
      <c r="A34" s="188" t="s">
        <v>174</v>
      </c>
      <c r="C34" s="183"/>
      <c r="D34" s="184"/>
      <c r="E34" s="185"/>
      <c r="F34" s="185"/>
      <c r="I34" s="179"/>
    </row>
    <row r="35" spans="1:9" ht="15">
      <c r="A35" s="170" t="s">
        <v>175</v>
      </c>
      <c r="C35" s="183"/>
      <c r="D35" s="189"/>
      <c r="E35" s="189"/>
      <c r="F35" s="189"/>
      <c r="I35" s="179"/>
    </row>
    <row r="36" spans="1:9" ht="15">
      <c r="A36" s="170"/>
      <c r="B36" s="167" t="s">
        <v>176</v>
      </c>
      <c r="C36" s="183"/>
      <c r="D36" s="189">
        <v>180</v>
      </c>
      <c r="E36" s="189">
        <v>20</v>
      </c>
      <c r="F36" s="189">
        <v>7</v>
      </c>
      <c r="G36" s="190">
        <v>12</v>
      </c>
      <c r="I36" s="179">
        <v>302400</v>
      </c>
    </row>
    <row r="37" spans="1:9" ht="15">
      <c r="A37" s="170"/>
      <c r="B37" s="167" t="s">
        <v>177</v>
      </c>
      <c r="C37" s="183"/>
      <c r="D37" s="189">
        <v>200</v>
      </c>
      <c r="E37" s="189">
        <v>20</v>
      </c>
      <c r="F37" s="189">
        <v>5</v>
      </c>
      <c r="G37" s="190">
        <v>4</v>
      </c>
      <c r="I37" s="180">
        <v>80000</v>
      </c>
    </row>
    <row r="38" spans="1:9" ht="15">
      <c r="A38" s="170"/>
      <c r="C38" s="183"/>
      <c r="D38" s="189"/>
      <c r="E38" s="189"/>
      <c r="F38" s="189"/>
      <c r="G38" s="189"/>
      <c r="I38" s="191">
        <f>SUM(I36:I37)</f>
        <v>382400</v>
      </c>
    </row>
    <row r="39" spans="1:9" ht="15">
      <c r="A39" s="170" t="s">
        <v>178</v>
      </c>
      <c r="C39" s="183"/>
      <c r="D39" s="189"/>
      <c r="E39" s="189"/>
      <c r="F39" s="189"/>
      <c r="G39" s="189"/>
      <c r="I39" s="179"/>
    </row>
    <row r="40" spans="1:9" ht="15">
      <c r="A40" s="170"/>
      <c r="B40" s="167" t="s">
        <v>176</v>
      </c>
      <c r="C40" s="183"/>
      <c r="D40" s="189">
        <v>180</v>
      </c>
      <c r="E40" s="189">
        <v>20</v>
      </c>
      <c r="F40" s="189">
        <v>7</v>
      </c>
      <c r="G40" s="190">
        <v>12</v>
      </c>
      <c r="I40" s="179">
        <v>302400</v>
      </c>
    </row>
    <row r="41" spans="1:9" ht="15">
      <c r="A41" s="170"/>
      <c r="B41" s="167" t="s">
        <v>177</v>
      </c>
      <c r="C41" s="183"/>
      <c r="D41" s="189">
        <v>150</v>
      </c>
      <c r="E41" s="189">
        <v>20</v>
      </c>
      <c r="F41" s="189">
        <v>5</v>
      </c>
      <c r="G41" s="190">
        <v>4</v>
      </c>
      <c r="I41" s="179">
        <v>60000</v>
      </c>
    </row>
    <row r="42" spans="1:9" ht="15">
      <c r="A42" s="170"/>
      <c r="C42" s="183"/>
      <c r="D42" s="189"/>
      <c r="E42" s="189"/>
      <c r="F42" s="189"/>
      <c r="G42" s="189"/>
      <c r="I42" s="191">
        <f>SUM(I40:I41)</f>
        <v>362400</v>
      </c>
    </row>
    <row r="43" spans="1:9" ht="15">
      <c r="A43" s="170" t="s">
        <v>179</v>
      </c>
      <c r="C43" s="183"/>
      <c r="D43" s="189"/>
      <c r="E43" s="189"/>
      <c r="F43" s="189"/>
      <c r="G43" s="189"/>
      <c r="I43" s="179"/>
    </row>
    <row r="44" spans="1:9" ht="15">
      <c r="A44" s="170"/>
      <c r="B44" s="167" t="s">
        <v>180</v>
      </c>
      <c r="C44" s="183"/>
      <c r="D44" s="189">
        <v>110</v>
      </c>
      <c r="E44" s="189">
        <v>8</v>
      </c>
      <c r="F44" s="189">
        <v>7</v>
      </c>
      <c r="G44" s="190">
        <v>12</v>
      </c>
      <c r="I44" s="179">
        <v>73920</v>
      </c>
    </row>
    <row r="45" spans="1:9" ht="15">
      <c r="A45" s="170"/>
      <c r="B45" s="167" t="s">
        <v>181</v>
      </c>
      <c r="C45" s="183"/>
      <c r="D45" s="189">
        <v>60</v>
      </c>
      <c r="E45" s="189">
        <v>8</v>
      </c>
      <c r="F45" s="189">
        <v>5</v>
      </c>
      <c r="G45" s="190">
        <v>4</v>
      </c>
      <c r="I45" s="179">
        <v>9600</v>
      </c>
    </row>
    <row r="46" spans="1:9" ht="15">
      <c r="A46" s="170"/>
      <c r="C46" s="183"/>
      <c r="D46" s="189"/>
      <c r="E46" s="189"/>
      <c r="F46" s="189"/>
      <c r="G46" s="190"/>
      <c r="I46" s="191">
        <f>SUM(I44:I45)</f>
        <v>83520</v>
      </c>
    </row>
    <row r="47" spans="1:9" ht="13.5" thickBot="1">
      <c r="A47" s="170"/>
      <c r="C47" s="192" t="s">
        <v>182</v>
      </c>
      <c r="D47" s="189"/>
      <c r="E47" s="189"/>
      <c r="F47" s="189"/>
      <c r="G47" s="189"/>
      <c r="I47" s="193">
        <v>828320</v>
      </c>
    </row>
    <row r="48" spans="1:9" ht="15">
      <c r="A48" s="170"/>
      <c r="C48" s="183"/>
      <c r="D48" s="189"/>
      <c r="E48" s="189"/>
      <c r="F48" s="189"/>
      <c r="G48" s="189"/>
      <c r="H48" s="189"/>
      <c r="I48" s="179"/>
    </row>
    <row r="49" spans="1:9" ht="15">
      <c r="A49" s="170"/>
      <c r="C49" s="183"/>
      <c r="D49" s="189"/>
      <c r="E49" s="189"/>
      <c r="F49" s="189"/>
      <c r="G49" s="189"/>
      <c r="H49" s="189"/>
      <c r="I49" s="179"/>
    </row>
    <row r="50" spans="1:9" ht="15">
      <c r="A50" s="170"/>
      <c r="C50" s="183"/>
      <c r="D50" s="189"/>
      <c r="E50" s="189"/>
      <c r="F50" s="189"/>
      <c r="G50" s="189"/>
      <c r="H50" s="189"/>
      <c r="I50" s="179"/>
    </row>
    <row r="51" spans="1:9" ht="15">
      <c r="A51" s="170"/>
      <c r="C51" s="183"/>
      <c r="D51" s="189"/>
      <c r="E51" s="189"/>
      <c r="F51" s="189"/>
      <c r="G51" s="189"/>
      <c r="H51" s="189"/>
      <c r="I51" s="179"/>
    </row>
    <row r="52" spans="1:9" ht="15">
      <c r="A52" s="170"/>
      <c r="C52" s="183"/>
      <c r="D52" s="189"/>
      <c r="E52" s="189"/>
      <c r="F52" s="189"/>
      <c r="G52" s="189"/>
      <c r="H52" s="189"/>
      <c r="I52" s="179"/>
    </row>
    <row r="53" spans="1:9" ht="15">
      <c r="A53" s="170"/>
      <c r="C53" s="183"/>
      <c r="D53" s="189"/>
      <c r="E53" s="189"/>
      <c r="F53" s="189"/>
      <c r="G53" s="189"/>
      <c r="H53" s="189"/>
      <c r="I53" s="179"/>
    </row>
    <row r="54" spans="1:9" ht="15">
      <c r="A54" s="170"/>
      <c r="C54" s="183"/>
      <c r="D54" s="189"/>
      <c r="E54" s="189"/>
      <c r="F54" s="189"/>
      <c r="G54" s="189"/>
      <c r="H54" s="189"/>
      <c r="I54" s="179"/>
    </row>
    <row r="55" spans="1:9" ht="15">
      <c r="A55" s="188" t="s">
        <v>183</v>
      </c>
      <c r="C55" s="168"/>
      <c r="D55" s="194"/>
      <c r="E55" s="194"/>
      <c r="F55" s="194"/>
      <c r="G55" s="194"/>
      <c r="H55" s="194"/>
      <c r="I55" s="179"/>
    </row>
    <row r="56" spans="1:9" ht="15">
      <c r="A56" s="170" t="s">
        <v>175</v>
      </c>
      <c r="C56" s="168"/>
      <c r="D56" s="194"/>
      <c r="E56" s="194"/>
      <c r="F56" s="194"/>
      <c r="G56" s="194"/>
      <c r="H56" s="194"/>
      <c r="I56" s="179"/>
    </row>
    <row r="57" spans="1:9" ht="15">
      <c r="A57" s="170"/>
      <c r="B57" s="167" t="s">
        <v>184</v>
      </c>
      <c r="C57" s="183"/>
      <c r="D57" s="189">
        <v>40</v>
      </c>
      <c r="E57" s="189">
        <v>20</v>
      </c>
      <c r="F57" s="189">
        <v>5</v>
      </c>
      <c r="G57" s="190">
        <v>4</v>
      </c>
      <c r="I57" s="179">
        <v>16000</v>
      </c>
    </row>
    <row r="58" spans="1:9" ht="15">
      <c r="A58" s="170" t="s">
        <v>178</v>
      </c>
      <c r="C58" s="183"/>
      <c r="D58" s="189"/>
      <c r="E58" s="189"/>
      <c r="F58" s="189"/>
      <c r="G58" s="190"/>
      <c r="I58" s="179"/>
    </row>
    <row r="59" spans="1:9" ht="15">
      <c r="A59" s="170"/>
      <c r="B59" s="167" t="s">
        <v>184</v>
      </c>
      <c r="C59" s="183"/>
      <c r="D59" s="189">
        <v>40</v>
      </c>
      <c r="E59" s="189">
        <v>20</v>
      </c>
      <c r="F59" s="189">
        <v>5</v>
      </c>
      <c r="G59" s="190">
        <v>4</v>
      </c>
      <c r="I59" s="179">
        <v>16000</v>
      </c>
    </row>
    <row r="60" spans="1:9" ht="15">
      <c r="A60" s="170" t="s">
        <v>179</v>
      </c>
      <c r="C60" s="183"/>
      <c r="D60" s="189"/>
      <c r="E60" s="189"/>
      <c r="F60" s="189"/>
      <c r="G60" s="190"/>
      <c r="I60" s="179"/>
    </row>
    <row r="61" spans="1:9" ht="15">
      <c r="A61" s="170"/>
      <c r="B61" s="167" t="s">
        <v>184</v>
      </c>
      <c r="C61" s="183"/>
      <c r="D61" s="189">
        <v>20</v>
      </c>
      <c r="E61" s="189">
        <v>8</v>
      </c>
      <c r="F61" s="189">
        <v>5</v>
      </c>
      <c r="G61" s="190">
        <v>4</v>
      </c>
      <c r="I61" s="179">
        <v>3200</v>
      </c>
    </row>
    <row r="62" spans="1:9" ht="15">
      <c r="A62" s="170" t="s">
        <v>185</v>
      </c>
      <c r="C62" s="183"/>
      <c r="D62" s="189"/>
      <c r="E62" s="189"/>
      <c r="F62" s="189"/>
      <c r="G62" s="190"/>
      <c r="I62" s="179"/>
    </row>
    <row r="63" spans="1:9" ht="15">
      <c r="A63" s="170"/>
      <c r="B63" s="167" t="s">
        <v>186</v>
      </c>
      <c r="C63" s="183"/>
      <c r="D63" s="189">
        <v>20</v>
      </c>
      <c r="E63" s="189">
        <v>22</v>
      </c>
      <c r="F63" s="189">
        <v>5</v>
      </c>
      <c r="G63" s="190">
        <v>5</v>
      </c>
      <c r="I63" s="179">
        <v>11000</v>
      </c>
    </row>
    <row r="64" spans="1:9" ht="15">
      <c r="A64" s="170"/>
      <c r="B64" s="167" t="s">
        <v>187</v>
      </c>
      <c r="D64" s="189">
        <v>10</v>
      </c>
      <c r="E64" s="189">
        <v>22</v>
      </c>
      <c r="F64" s="189">
        <v>5</v>
      </c>
      <c r="G64" s="190">
        <v>4</v>
      </c>
      <c r="I64" s="179">
        <v>4400</v>
      </c>
    </row>
    <row r="65" spans="1:9" ht="15">
      <c r="A65" s="170"/>
      <c r="B65" s="167" t="s">
        <v>188</v>
      </c>
      <c r="D65" s="189">
        <v>10</v>
      </c>
      <c r="E65" s="189">
        <v>22</v>
      </c>
      <c r="F65" s="189">
        <v>5</v>
      </c>
      <c r="G65" s="190">
        <v>5</v>
      </c>
      <c r="I65" s="179">
        <v>5500</v>
      </c>
    </row>
    <row r="66" spans="1:9" ht="13.5" thickBot="1">
      <c r="A66" s="170"/>
      <c r="C66" s="192" t="s">
        <v>189</v>
      </c>
      <c r="D66" s="194"/>
      <c r="E66" s="194"/>
      <c r="F66" s="194"/>
      <c r="I66" s="193">
        <v>56100</v>
      </c>
    </row>
    <row r="67" spans="1:9">
      <c r="A67" s="170"/>
      <c r="C67" s="168"/>
      <c r="D67" s="194"/>
      <c r="E67" s="194"/>
      <c r="F67" s="194"/>
      <c r="I67" s="194"/>
    </row>
    <row r="68" spans="1:9" ht="13.5" thickBot="1">
      <c r="A68" s="170"/>
      <c r="C68" s="168" t="s">
        <v>190</v>
      </c>
      <c r="D68" s="194"/>
      <c r="E68" s="194"/>
      <c r="F68" s="194"/>
      <c r="I68" s="195">
        <v>884420</v>
      </c>
    </row>
    <row r="69" spans="1:9" ht="13.5" thickTop="1"/>
    <row r="71" spans="1:9">
      <c r="A71" s="170" t="s">
        <v>191</v>
      </c>
    </row>
    <row r="72" spans="1:9">
      <c r="A72" s="188" t="s">
        <v>192</v>
      </c>
      <c r="E72" s="203" t="s">
        <v>193</v>
      </c>
      <c r="F72" s="203"/>
      <c r="G72" s="203"/>
    </row>
    <row r="73" spans="1:9" ht="22.5">
      <c r="B73" s="167" t="s">
        <v>194</v>
      </c>
      <c r="D73" s="196"/>
      <c r="E73" s="196" t="s">
        <v>195</v>
      </c>
      <c r="G73" s="196" t="s">
        <v>186</v>
      </c>
    </row>
    <row r="74" spans="1:9" ht="15">
      <c r="C74" s="167" t="s">
        <v>196</v>
      </c>
      <c r="D74" s="197"/>
      <c r="E74" s="198">
        <v>4</v>
      </c>
      <c r="G74" s="198">
        <v>5</v>
      </c>
    </row>
    <row r="75" spans="1:9" ht="15">
      <c r="C75" s="167" t="s">
        <v>197</v>
      </c>
      <c r="D75" s="197"/>
      <c r="E75" s="198">
        <v>4</v>
      </c>
      <c r="G75" s="198">
        <v>5</v>
      </c>
    </row>
    <row r="76" spans="1:9" ht="15">
      <c r="C76" s="167" t="s">
        <v>198</v>
      </c>
      <c r="D76" s="197"/>
      <c r="E76" s="198">
        <v>4</v>
      </c>
      <c r="G76" s="198">
        <v>5</v>
      </c>
    </row>
    <row r="78" spans="1:9">
      <c r="B78" s="167" t="s">
        <v>199</v>
      </c>
    </row>
    <row r="79" spans="1:9">
      <c r="C79" s="167" t="s">
        <v>175</v>
      </c>
      <c r="D79" s="199">
        <v>20</v>
      </c>
      <c r="E79" s="199"/>
      <c r="F79" s="199"/>
    </row>
    <row r="80" spans="1:9">
      <c r="C80" s="167" t="s">
        <v>178</v>
      </c>
      <c r="D80" s="199">
        <v>20</v>
      </c>
      <c r="E80" s="199"/>
      <c r="F80" s="199"/>
    </row>
    <row r="81" spans="1:8">
      <c r="C81" s="167" t="s">
        <v>179</v>
      </c>
      <c r="D81" s="199">
        <v>8</v>
      </c>
      <c r="E81" s="199"/>
      <c r="F81" s="199"/>
    </row>
    <row r="83" spans="1:8">
      <c r="B83" s="167" t="s">
        <v>200</v>
      </c>
    </row>
    <row r="85" spans="1:8">
      <c r="A85" s="188" t="s">
        <v>201</v>
      </c>
      <c r="E85" s="178"/>
      <c r="F85" s="178"/>
      <c r="G85" s="178"/>
      <c r="H85" s="178"/>
    </row>
    <row r="86" spans="1:8">
      <c r="B86" s="178" t="s">
        <v>202</v>
      </c>
      <c r="C86" s="178"/>
      <c r="D86" s="178"/>
      <c r="E86" s="178"/>
      <c r="F86" s="178"/>
      <c r="G86" s="178"/>
    </row>
    <row r="87" spans="1:8">
      <c r="B87" s="178"/>
      <c r="C87" s="178" t="s">
        <v>203</v>
      </c>
      <c r="D87" s="178"/>
      <c r="E87" s="178"/>
      <c r="F87" s="178"/>
      <c r="G87" s="178"/>
    </row>
    <row r="88" spans="1:8">
      <c r="B88" s="178"/>
      <c r="C88" s="178" t="s">
        <v>204</v>
      </c>
      <c r="D88" s="178"/>
      <c r="E88" s="178"/>
      <c r="F88" s="178"/>
      <c r="G88" s="178"/>
    </row>
    <row r="89" spans="1:8">
      <c r="B89" s="178" t="s">
        <v>205</v>
      </c>
      <c r="C89" s="178"/>
      <c r="D89" s="178"/>
      <c r="E89" s="178"/>
      <c r="F89" s="178"/>
      <c r="G89" s="178"/>
    </row>
    <row r="90" spans="1:8">
      <c r="B90" s="178"/>
      <c r="C90" s="178"/>
      <c r="D90" s="178"/>
      <c r="E90" s="178"/>
      <c r="F90" s="177"/>
      <c r="G90" s="178"/>
    </row>
    <row r="91" spans="1:8">
      <c r="B91" s="178"/>
      <c r="C91" s="178" t="s">
        <v>206</v>
      </c>
      <c r="D91" s="178"/>
      <c r="E91" s="178"/>
      <c r="F91" s="178"/>
      <c r="G91" s="178"/>
    </row>
    <row r="92" spans="1:8">
      <c r="B92" s="178"/>
      <c r="C92" s="178" t="s">
        <v>207</v>
      </c>
      <c r="D92" s="178"/>
      <c r="E92" s="178"/>
      <c r="F92" s="178"/>
      <c r="G92" s="178"/>
    </row>
    <row r="93" spans="1:8">
      <c r="B93" s="178"/>
      <c r="C93" s="178" t="s">
        <v>208</v>
      </c>
      <c r="D93" s="178" t="s">
        <v>209</v>
      </c>
      <c r="E93" s="178"/>
      <c r="F93" s="178"/>
      <c r="G93" s="178"/>
    </row>
    <row r="94" spans="1:8">
      <c r="B94" s="178"/>
      <c r="C94" s="178" t="s">
        <v>210</v>
      </c>
      <c r="D94" s="178" t="s">
        <v>209</v>
      </c>
      <c r="E94" s="178"/>
      <c r="F94" s="178"/>
      <c r="G94" s="178"/>
    </row>
    <row r="95" spans="1:8">
      <c r="B95" s="178"/>
      <c r="C95" s="178" t="s">
        <v>211</v>
      </c>
      <c r="D95" s="178" t="s">
        <v>212</v>
      </c>
      <c r="E95" s="178"/>
      <c r="F95" s="178"/>
      <c r="G95" s="178"/>
    </row>
    <row r="96" spans="1:8">
      <c r="B96" s="178"/>
      <c r="C96" s="178" t="s">
        <v>213</v>
      </c>
      <c r="D96" s="178" t="s">
        <v>212</v>
      </c>
      <c r="E96" s="178"/>
      <c r="F96" s="178"/>
      <c r="G96" s="178"/>
    </row>
    <row r="97" spans="2:7">
      <c r="B97" s="178"/>
      <c r="C97" s="178" t="s">
        <v>214</v>
      </c>
      <c r="D97" s="178"/>
      <c r="E97" s="178"/>
      <c r="F97" s="178"/>
      <c r="G97" s="178"/>
    </row>
    <row r="99" spans="2:7" ht="15">
      <c r="C99" s="167" t="s">
        <v>215</v>
      </c>
      <c r="G99" s="179">
        <v>12500</v>
      </c>
    </row>
    <row r="100" spans="2:7" ht="15">
      <c r="C100" s="167" t="s">
        <v>216</v>
      </c>
      <c r="G100" s="180">
        <v>52</v>
      </c>
    </row>
    <row r="101" spans="2:7" ht="13.5" thickBot="1">
      <c r="G101" s="200">
        <f>SUM(G99*52)</f>
        <v>650000</v>
      </c>
    </row>
    <row r="102" spans="2:7" ht="13.5" thickTop="1">
      <c r="B102" s="201"/>
    </row>
    <row r="103" spans="2:7">
      <c r="B103" s="201"/>
    </row>
  </sheetData>
  <mergeCells count="4">
    <mergeCell ref="A1:G1"/>
    <mergeCell ref="A2:G2"/>
    <mergeCell ref="A3:G3"/>
    <mergeCell ref="E72:G7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N1" sqref="N1"/>
    </sheetView>
  </sheetViews>
  <sheetFormatPr defaultRowHeight="15"/>
  <cols>
    <col min="1" max="1" width="17.28515625" customWidth="1"/>
    <col min="14" max="14" width="11.5703125" style="113" bestFit="1" customWidth="1"/>
    <col min="15" max="15" width="11.5703125" bestFit="1" customWidth="1"/>
  </cols>
  <sheetData>
    <row r="1" spans="1:14">
      <c r="A1" t="s">
        <v>94</v>
      </c>
    </row>
    <row r="3" spans="1:14" ht="90.75" customHeight="1">
      <c r="A3" s="112" t="s">
        <v>27</v>
      </c>
      <c r="B3" s="115"/>
      <c r="C3" s="219" t="s">
        <v>102</v>
      </c>
      <c r="D3" s="220"/>
      <c r="E3" s="220"/>
      <c r="F3" s="220"/>
      <c r="G3" s="220"/>
      <c r="H3" s="220"/>
      <c r="I3" s="220"/>
      <c r="J3" s="220"/>
      <c r="K3" s="220"/>
      <c r="L3" s="220"/>
      <c r="M3" s="221"/>
      <c r="N3" s="114" t="s">
        <v>44</v>
      </c>
    </row>
    <row r="4" spans="1:14" ht="15.75">
      <c r="A4" s="105" t="s">
        <v>25</v>
      </c>
      <c r="B4" s="106">
        <v>1</v>
      </c>
      <c r="C4" s="228" t="s">
        <v>96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114"/>
    </row>
    <row r="5" spans="1:14" ht="15" customHeight="1">
      <c r="A5" s="107" t="s">
        <v>68</v>
      </c>
      <c r="B5" s="108">
        <v>1.1000000000000001</v>
      </c>
      <c r="C5" s="219" t="s">
        <v>97</v>
      </c>
      <c r="D5" s="220"/>
      <c r="E5" s="220"/>
      <c r="F5" s="220"/>
      <c r="G5" s="220"/>
      <c r="H5" s="220"/>
      <c r="I5" s="220"/>
      <c r="J5" s="220"/>
      <c r="K5" s="220"/>
      <c r="L5" s="220"/>
      <c r="M5" s="221"/>
      <c r="N5" s="114">
        <f>+'Activity Cost'!H5</f>
        <v>155477.30691700001</v>
      </c>
    </row>
    <row r="6" spans="1:14">
      <c r="A6" s="110" t="s">
        <v>28</v>
      </c>
      <c r="B6" s="104">
        <v>2</v>
      </c>
      <c r="C6" s="209" t="s">
        <v>98</v>
      </c>
      <c r="D6" s="210"/>
      <c r="E6" s="210"/>
      <c r="F6" s="210"/>
      <c r="G6" s="210"/>
      <c r="H6" s="210"/>
      <c r="I6" s="210"/>
      <c r="J6" s="210"/>
      <c r="K6" s="210"/>
      <c r="L6" s="210"/>
      <c r="M6" s="237"/>
      <c r="N6" s="114"/>
    </row>
    <row r="7" spans="1:14" ht="15" customHeight="1">
      <c r="A7" s="98" t="s">
        <v>67</v>
      </c>
      <c r="B7" s="108">
        <v>2.1</v>
      </c>
      <c r="C7" s="206" t="s">
        <v>99</v>
      </c>
      <c r="D7" s="207"/>
      <c r="E7" s="207"/>
      <c r="F7" s="207"/>
      <c r="G7" s="207"/>
      <c r="H7" s="207"/>
      <c r="I7" s="207"/>
      <c r="J7" s="207"/>
      <c r="K7" s="207"/>
      <c r="L7" s="207"/>
      <c r="M7" s="208"/>
      <c r="N7" s="114">
        <f>+'Activity Cost'!H6</f>
        <v>57930.431666999997</v>
      </c>
    </row>
    <row r="8" spans="1:14">
      <c r="A8" s="111" t="s">
        <v>25</v>
      </c>
      <c r="B8" s="109">
        <v>3</v>
      </c>
      <c r="C8" s="206" t="s">
        <v>100</v>
      </c>
      <c r="D8" s="207"/>
      <c r="E8" s="207"/>
      <c r="F8" s="207"/>
      <c r="G8" s="207"/>
      <c r="H8" s="207"/>
      <c r="I8" s="207"/>
      <c r="J8" s="207"/>
      <c r="K8" s="207"/>
      <c r="L8" s="207"/>
      <c r="M8" s="208"/>
      <c r="N8" s="114"/>
    </row>
    <row r="9" spans="1:14">
      <c r="A9" s="98" t="s">
        <v>67</v>
      </c>
      <c r="B9" s="109">
        <v>3.1</v>
      </c>
      <c r="C9" s="209" t="s">
        <v>101</v>
      </c>
      <c r="D9" s="210"/>
      <c r="E9" s="210"/>
      <c r="F9" s="210"/>
      <c r="G9" s="210"/>
      <c r="H9" s="210"/>
      <c r="I9" s="210"/>
      <c r="J9" s="210"/>
      <c r="K9" s="210"/>
      <c r="L9" s="210"/>
      <c r="M9" s="237"/>
      <c r="N9" s="114">
        <f>+'Activity Cost'!H7</f>
        <v>20321.558916000002</v>
      </c>
    </row>
    <row r="11" spans="1:14">
      <c r="N11" s="113">
        <f>+N5+N7+N9</f>
        <v>233729.29750000002</v>
      </c>
    </row>
  </sheetData>
  <mergeCells count="7">
    <mergeCell ref="C9:M9"/>
    <mergeCell ref="C8:M8"/>
    <mergeCell ref="C3:M3"/>
    <mergeCell ref="C5:M5"/>
    <mergeCell ref="C6:M6"/>
    <mergeCell ref="C7:M7"/>
    <mergeCell ref="C4:M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53</v>
      </c>
      <c r="B1" s="8"/>
      <c r="C1" s="8"/>
      <c r="D1" s="8"/>
      <c r="E1" s="8"/>
      <c r="F1" s="8"/>
    </row>
    <row r="2" spans="1:6">
      <c r="A2" s="5" t="s">
        <v>19</v>
      </c>
      <c r="B2" s="6" t="s">
        <v>77</v>
      </c>
    </row>
    <row r="3" spans="1:6">
      <c r="A3" s="5"/>
    </row>
    <row r="4" spans="1:6">
      <c r="A4" s="5" t="s">
        <v>49</v>
      </c>
      <c r="B4" s="6" t="s">
        <v>50</v>
      </c>
    </row>
    <row r="5" spans="1:6">
      <c r="A5" s="5"/>
    </row>
    <row r="6" spans="1:6">
      <c r="A6" s="5" t="s">
        <v>65</v>
      </c>
      <c r="B6" s="6" t="s">
        <v>13</v>
      </c>
    </row>
    <row r="7" spans="1:6">
      <c r="A7" s="5"/>
    </row>
    <row r="8" spans="1:6">
      <c r="A8" s="5" t="s">
        <v>20</v>
      </c>
      <c r="B8" s="6" t="s">
        <v>78</v>
      </c>
    </row>
    <row r="9" spans="1:6">
      <c r="A9" s="5"/>
    </row>
    <row r="10" spans="1:6">
      <c r="A10" s="5" t="s">
        <v>21</v>
      </c>
      <c r="B10" s="6" t="s">
        <v>45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3" workbookViewId="0">
      <selection activeCell="C16" sqref="C16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1" spans="1:14" ht="15.75" thickBot="1"/>
    <row r="2" spans="1:14" ht="23.25" customHeight="1" thickBot="1">
      <c r="A2" s="214" t="s">
        <v>39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75"/>
    </row>
    <row r="3" spans="1:14" ht="18.75" customHeight="1" thickTop="1">
      <c r="A3" s="217" t="s">
        <v>105</v>
      </c>
      <c r="B3" s="218"/>
      <c r="C3" s="226" t="s">
        <v>95</v>
      </c>
      <c r="D3" s="226"/>
      <c r="E3" s="226"/>
      <c r="F3" s="226"/>
      <c r="G3" s="226"/>
      <c r="H3" s="226"/>
      <c r="I3" s="226"/>
      <c r="J3" s="226"/>
      <c r="K3" s="226"/>
      <c r="L3" s="226"/>
      <c r="M3" s="227"/>
      <c r="N3" s="133"/>
    </row>
    <row r="4" spans="1:14" ht="45.75" customHeight="1">
      <c r="A4" s="222" t="s">
        <v>76</v>
      </c>
      <c r="B4" s="223"/>
      <c r="C4" s="224" t="s">
        <v>137</v>
      </c>
      <c r="D4" s="225"/>
      <c r="E4" s="225"/>
      <c r="F4" s="225"/>
      <c r="G4" s="225"/>
      <c r="H4" s="225"/>
      <c r="I4" s="225"/>
      <c r="J4" s="225"/>
      <c r="K4" s="225"/>
      <c r="L4" s="225"/>
      <c r="M4" s="134"/>
      <c r="N4" s="133"/>
    </row>
    <row r="5" spans="1:14">
      <c r="A5" s="135" t="s">
        <v>27</v>
      </c>
      <c r="B5" s="95">
        <v>1</v>
      </c>
      <c r="C5" s="219" t="s">
        <v>138</v>
      </c>
      <c r="D5" s="220"/>
      <c r="E5" s="220"/>
      <c r="F5" s="220"/>
      <c r="G5" s="220"/>
      <c r="H5" s="220"/>
      <c r="I5" s="220"/>
      <c r="J5" s="220"/>
      <c r="K5" s="220"/>
      <c r="L5" s="221"/>
      <c r="M5" s="136"/>
      <c r="N5" s="10"/>
    </row>
    <row r="6" spans="1:14" ht="27.75" customHeight="1">
      <c r="A6" s="137" t="s">
        <v>25</v>
      </c>
      <c r="B6" s="96">
        <v>1</v>
      </c>
      <c r="C6" s="228" t="s">
        <v>139</v>
      </c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133"/>
    </row>
    <row r="7" spans="1:14" ht="15" customHeight="1">
      <c r="A7" s="138" t="s">
        <v>68</v>
      </c>
      <c r="B7" s="11">
        <v>1.1000000000000001</v>
      </c>
      <c r="C7" s="209" t="s">
        <v>140</v>
      </c>
      <c r="D7" s="210"/>
      <c r="E7" s="210"/>
      <c r="F7" s="210"/>
      <c r="G7" s="210"/>
      <c r="H7" s="210"/>
      <c r="I7" s="210"/>
      <c r="J7" s="210"/>
      <c r="K7" s="210"/>
      <c r="L7" s="210"/>
      <c r="M7" s="139"/>
      <c r="N7" s="133"/>
    </row>
    <row r="8" spans="1:14" ht="15" customHeight="1">
      <c r="A8" s="140" t="s">
        <v>24</v>
      </c>
      <c r="B8" s="94" t="s">
        <v>144</v>
      </c>
      <c r="C8" s="206" t="s">
        <v>141</v>
      </c>
      <c r="D8" s="207"/>
      <c r="E8" s="207"/>
      <c r="F8" s="207"/>
      <c r="G8" s="207"/>
      <c r="H8" s="207"/>
      <c r="I8" s="207"/>
      <c r="J8" s="207"/>
      <c r="K8" s="207"/>
      <c r="L8" s="208"/>
      <c r="M8" s="136"/>
      <c r="N8" s="133"/>
    </row>
    <row r="9" spans="1:14" ht="15" customHeight="1">
      <c r="A9" s="141" t="s">
        <v>28</v>
      </c>
      <c r="B9" s="95">
        <v>2</v>
      </c>
      <c r="C9" s="209" t="s">
        <v>146</v>
      </c>
      <c r="D9" s="210"/>
      <c r="E9" s="210"/>
      <c r="F9" s="210"/>
      <c r="G9" s="210"/>
      <c r="H9" s="210"/>
      <c r="I9" s="210"/>
      <c r="J9" s="210"/>
      <c r="K9" s="210"/>
      <c r="L9" s="210"/>
      <c r="M9" s="142"/>
      <c r="N9" s="133"/>
    </row>
    <row r="10" spans="1:14" ht="15" customHeight="1">
      <c r="A10" s="143" t="s">
        <v>67</v>
      </c>
      <c r="B10" s="11">
        <v>2.1</v>
      </c>
      <c r="C10" s="206" t="s">
        <v>143</v>
      </c>
      <c r="D10" s="207"/>
      <c r="E10" s="207"/>
      <c r="F10" s="207"/>
      <c r="G10" s="207"/>
      <c r="H10" s="207"/>
      <c r="I10" s="207"/>
      <c r="J10" s="207"/>
      <c r="K10" s="207"/>
      <c r="L10" s="207"/>
      <c r="M10" s="136"/>
      <c r="N10" s="133"/>
    </row>
    <row r="11" spans="1:14" ht="15" customHeight="1">
      <c r="A11" s="140" t="s">
        <v>26</v>
      </c>
      <c r="B11" s="94" t="s">
        <v>145</v>
      </c>
      <c r="C11" s="212" t="s">
        <v>142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3"/>
      <c r="N11" s="133"/>
    </row>
    <row r="12" spans="1:14">
      <c r="A12" s="144" t="s">
        <v>25</v>
      </c>
      <c r="B12" s="94">
        <v>3</v>
      </c>
      <c r="C12" s="206" t="s">
        <v>147</v>
      </c>
      <c r="D12" s="207"/>
      <c r="E12" s="207"/>
      <c r="F12" s="207"/>
      <c r="G12" s="207"/>
      <c r="H12" s="207"/>
      <c r="I12" s="207"/>
      <c r="J12" s="207"/>
      <c r="K12" s="207"/>
      <c r="L12" s="208"/>
      <c r="M12" s="136"/>
      <c r="N12" s="10"/>
    </row>
    <row r="13" spans="1:14">
      <c r="A13" s="143" t="s">
        <v>67</v>
      </c>
      <c r="B13" s="94">
        <v>3.1</v>
      </c>
      <c r="C13" s="209" t="s">
        <v>148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1"/>
      <c r="N13" s="10"/>
    </row>
    <row r="14" spans="1:14" ht="15.75" thickBot="1">
      <c r="A14" s="145" t="s">
        <v>26</v>
      </c>
      <c r="B14" s="146" t="s">
        <v>149</v>
      </c>
      <c r="C14" s="204" t="s">
        <v>150</v>
      </c>
      <c r="D14" s="204"/>
      <c r="E14" s="204"/>
      <c r="F14" s="204"/>
      <c r="G14" s="204"/>
      <c r="H14" s="204"/>
      <c r="I14" s="204"/>
      <c r="J14" s="204"/>
      <c r="K14" s="204"/>
      <c r="L14" s="204"/>
      <c r="M14" s="205"/>
      <c r="N14" s="10"/>
    </row>
    <row r="15" spans="1:14">
      <c r="N15" s="10"/>
    </row>
    <row r="16" spans="1:14">
      <c r="N16" s="10"/>
    </row>
    <row r="17" spans="14:14">
      <c r="N17" s="10"/>
    </row>
    <row r="18" spans="14:14">
      <c r="N18" s="10"/>
    </row>
    <row r="19" spans="14:14">
      <c r="N19" s="10"/>
    </row>
    <row r="20" spans="14:14">
      <c r="N20" s="10"/>
    </row>
    <row r="21" spans="14:14">
      <c r="N21" s="10"/>
    </row>
    <row r="22" spans="14:14">
      <c r="N22" s="10"/>
    </row>
    <row r="23" spans="14:14">
      <c r="N23" s="10"/>
    </row>
    <row r="24" spans="14:14">
      <c r="N24" s="10"/>
    </row>
    <row r="25" spans="14:14">
      <c r="N25" s="10"/>
    </row>
    <row r="26" spans="14:14">
      <c r="N26" s="10"/>
    </row>
    <row r="27" spans="14:14">
      <c r="N27" s="10"/>
    </row>
    <row r="28" spans="14:14">
      <c r="N28" s="10"/>
    </row>
    <row r="29" spans="14:14">
      <c r="N29" s="10"/>
    </row>
    <row r="30" spans="14:14">
      <c r="N30" s="10"/>
    </row>
    <row r="31" spans="14:14">
      <c r="N31" s="10"/>
    </row>
    <row r="32" spans="14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</sheetData>
  <mergeCells count="15">
    <mergeCell ref="C8:L8"/>
    <mergeCell ref="A2:M2"/>
    <mergeCell ref="A3:B3"/>
    <mergeCell ref="C5:L5"/>
    <mergeCell ref="C7:L7"/>
    <mergeCell ref="A4:B4"/>
    <mergeCell ref="C4:L4"/>
    <mergeCell ref="C3:M3"/>
    <mergeCell ref="C6:M6"/>
    <mergeCell ref="C14:M14"/>
    <mergeCell ref="C12:L12"/>
    <mergeCell ref="C13:M13"/>
    <mergeCell ref="C9:L9"/>
    <mergeCell ref="C10:L10"/>
    <mergeCell ref="C11:M11"/>
  </mergeCells>
  <phoneticPr fontId="2" type="noConversion"/>
  <pageMargins left="0.7" right="0.7" top="0.75" bottom="0.75" header="0.3" footer="0.3"/>
  <pageSetup scale="80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B5" sqref="B5"/>
    </sheetView>
  </sheetViews>
  <sheetFormatPr defaultColWidth="8.85546875" defaultRowHeight="15"/>
  <cols>
    <col min="1" max="1" width="21.7109375" customWidth="1"/>
    <col min="2" max="2" width="28" bestFit="1" customWidth="1"/>
    <col min="3" max="3" width="8.140625" customWidth="1"/>
    <col min="4" max="4" width="3" bestFit="1" customWidth="1"/>
    <col min="5" max="5" width="2.28515625" bestFit="1" customWidth="1"/>
    <col min="6" max="6" width="14" bestFit="1" customWidth="1"/>
    <col min="7" max="7" width="4.7109375" customWidth="1"/>
    <col min="8" max="8" width="4.5703125" customWidth="1"/>
    <col min="9" max="9" width="2.28515625" bestFit="1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8" width="12.7109375" bestFit="1" customWidth="1"/>
  </cols>
  <sheetData>
    <row r="1" spans="1:18" s="6" customFormat="1">
      <c r="C1" s="231" t="s">
        <v>103</v>
      </c>
      <c r="D1" s="231"/>
      <c r="E1" s="231"/>
      <c r="F1" s="231"/>
      <c r="G1" s="232" t="s">
        <v>104</v>
      </c>
      <c r="H1" s="232"/>
      <c r="I1" s="232"/>
      <c r="J1" s="232"/>
    </row>
    <row r="2" spans="1:18" s="6" customFormat="1">
      <c r="A2" s="16" t="s">
        <v>23</v>
      </c>
      <c r="B2" s="16" t="s">
        <v>31</v>
      </c>
      <c r="C2" s="87" t="s">
        <v>32</v>
      </c>
      <c r="D2" s="87"/>
      <c r="E2" s="87"/>
      <c r="F2" s="16" t="s">
        <v>33</v>
      </c>
      <c r="G2" s="230" t="s">
        <v>34</v>
      </c>
      <c r="H2" s="230"/>
      <c r="I2" s="230"/>
      <c r="J2" s="16" t="s">
        <v>46</v>
      </c>
      <c r="K2" s="16" t="s">
        <v>35</v>
      </c>
      <c r="L2" s="16" t="s">
        <v>36</v>
      </c>
      <c r="M2" s="16" t="s">
        <v>51</v>
      </c>
      <c r="N2" s="16" t="s">
        <v>52</v>
      </c>
      <c r="O2" s="16" t="s">
        <v>37</v>
      </c>
      <c r="P2" s="16" t="s">
        <v>38</v>
      </c>
      <c r="Q2" s="16" t="s">
        <v>18</v>
      </c>
      <c r="R2" s="16" t="s">
        <v>111</v>
      </c>
    </row>
    <row r="3" spans="1:18" s="6" customFormat="1" ht="14.25" customHeight="1">
      <c r="A3" s="123" t="s">
        <v>118</v>
      </c>
      <c r="B3" s="123" t="s">
        <v>119</v>
      </c>
      <c r="C3" s="117" t="s">
        <v>120</v>
      </c>
      <c r="D3" s="117">
        <v>11</v>
      </c>
      <c r="E3" s="117" t="s">
        <v>106</v>
      </c>
      <c r="F3" s="118">
        <v>19287</v>
      </c>
      <c r="G3" s="117" t="s">
        <v>120</v>
      </c>
      <c r="H3" s="117">
        <v>12</v>
      </c>
      <c r="I3" s="117" t="s">
        <v>109</v>
      </c>
      <c r="J3" s="118">
        <v>20270</v>
      </c>
      <c r="K3" s="164">
        <v>42355</v>
      </c>
      <c r="L3" s="164">
        <v>42721</v>
      </c>
      <c r="M3" s="125">
        <v>5</v>
      </c>
      <c r="N3" s="125">
        <v>21</v>
      </c>
      <c r="O3" s="88">
        <f>SUM(F3/26)*M3</f>
        <v>3709.0384615384614</v>
      </c>
      <c r="P3" s="86">
        <f t="shared" ref="P3:P13" si="0">SUM(J3/26)*N3</f>
        <v>16371.923076923078</v>
      </c>
      <c r="Q3" s="86">
        <f>SUM(O3:P3)</f>
        <v>20080.961538461539</v>
      </c>
      <c r="R3" s="86">
        <f>+Q3-F3</f>
        <v>793.96153846153902</v>
      </c>
    </row>
    <row r="4" spans="1:18" s="6" customFormat="1" ht="14.25">
      <c r="A4" s="159" t="s">
        <v>121</v>
      </c>
      <c r="B4" s="123" t="s">
        <v>122</v>
      </c>
      <c r="C4" s="117" t="s">
        <v>108</v>
      </c>
      <c r="D4" s="117">
        <v>10</v>
      </c>
      <c r="E4" s="117" t="s">
        <v>109</v>
      </c>
      <c r="F4" s="118">
        <v>16421</v>
      </c>
      <c r="G4" s="117" t="s">
        <v>108</v>
      </c>
      <c r="H4" s="117">
        <v>12</v>
      </c>
      <c r="I4" s="117" t="s">
        <v>110</v>
      </c>
      <c r="J4" s="118">
        <v>17258</v>
      </c>
      <c r="K4" s="164">
        <v>42234</v>
      </c>
      <c r="L4" s="164">
        <v>42600</v>
      </c>
      <c r="M4" s="125">
        <v>22</v>
      </c>
      <c r="N4" s="125">
        <v>4</v>
      </c>
      <c r="O4" s="89">
        <f t="shared" ref="O4:O13" si="1">SUM(F4/26)*M4</f>
        <v>13894.692307692309</v>
      </c>
      <c r="P4" s="44">
        <f t="shared" si="0"/>
        <v>2655.0769230769229</v>
      </c>
      <c r="Q4" s="44">
        <f t="shared" ref="Q4:Q13" si="2">SUM(O4:P4)</f>
        <v>16549.76923076923</v>
      </c>
      <c r="R4" s="126">
        <f t="shared" ref="R4:R13" si="3">+Q4-F4</f>
        <v>128.76923076923049</v>
      </c>
    </row>
    <row r="5" spans="1:18" s="6" customFormat="1" ht="14.25">
      <c r="A5" s="159" t="s">
        <v>123</v>
      </c>
      <c r="B5" s="159" t="s">
        <v>124</v>
      </c>
      <c r="C5" s="117" t="s">
        <v>125</v>
      </c>
      <c r="D5" s="117">
        <v>20</v>
      </c>
      <c r="E5" s="117" t="s">
        <v>109</v>
      </c>
      <c r="F5" s="118">
        <v>12560</v>
      </c>
      <c r="G5" s="117" t="s">
        <v>125</v>
      </c>
      <c r="H5" s="117">
        <v>20</v>
      </c>
      <c r="I5" s="117" t="s">
        <v>109</v>
      </c>
      <c r="J5" s="118">
        <v>12560</v>
      </c>
      <c r="K5" s="164"/>
      <c r="L5" s="164"/>
      <c r="M5" s="125">
        <v>12</v>
      </c>
      <c r="N5" s="125">
        <v>14</v>
      </c>
      <c r="O5" s="89">
        <f t="shared" ref="O5:O9" si="4">SUM(F5/26)*M5</f>
        <v>5796.9230769230771</v>
      </c>
      <c r="P5" s="44">
        <f t="shared" ref="P5:P9" si="5">SUM(J5/26)*N5</f>
        <v>6763.0769230769238</v>
      </c>
      <c r="Q5" s="44">
        <f t="shared" ref="Q5:Q9" si="6">SUM(O5:P5)</f>
        <v>12560</v>
      </c>
      <c r="R5" s="126">
        <f t="shared" ref="R5:R9" si="7">+Q5-F5</f>
        <v>0</v>
      </c>
    </row>
    <row r="6" spans="1:18" s="6" customFormat="1" ht="14.25">
      <c r="A6" s="159" t="s">
        <v>126</v>
      </c>
      <c r="B6" s="159" t="s">
        <v>127</v>
      </c>
      <c r="C6" s="117" t="s">
        <v>109</v>
      </c>
      <c r="D6" s="117">
        <v>20</v>
      </c>
      <c r="E6" s="117" t="s">
        <v>106</v>
      </c>
      <c r="F6" s="118">
        <v>11732</v>
      </c>
      <c r="G6" s="117" t="s">
        <v>109</v>
      </c>
      <c r="H6" s="117">
        <v>20</v>
      </c>
      <c r="I6" s="117" t="s">
        <v>109</v>
      </c>
      <c r="J6" s="118">
        <v>11849</v>
      </c>
      <c r="K6" s="164">
        <v>42239</v>
      </c>
      <c r="L6" s="164">
        <v>42605</v>
      </c>
      <c r="M6" s="125">
        <v>23</v>
      </c>
      <c r="N6" s="125">
        <v>3</v>
      </c>
      <c r="O6" s="89">
        <f t="shared" si="4"/>
        <v>10378.307692307691</v>
      </c>
      <c r="P6" s="44">
        <f t="shared" si="5"/>
        <v>1367.1923076923076</v>
      </c>
      <c r="Q6" s="44">
        <f t="shared" si="6"/>
        <v>11745.5</v>
      </c>
      <c r="R6" s="126">
        <f t="shared" si="7"/>
        <v>13.5</v>
      </c>
    </row>
    <row r="7" spans="1:18" s="6" customFormat="1" ht="14.25">
      <c r="A7" s="159" t="s">
        <v>128</v>
      </c>
      <c r="B7" s="159" t="s">
        <v>129</v>
      </c>
      <c r="C7" s="117" t="s">
        <v>106</v>
      </c>
      <c r="D7" s="117">
        <v>20</v>
      </c>
      <c r="E7" s="117" t="s">
        <v>109</v>
      </c>
      <c r="F7" s="118">
        <v>11285</v>
      </c>
      <c r="G7" s="117" t="s">
        <v>106</v>
      </c>
      <c r="H7" s="117">
        <v>20</v>
      </c>
      <c r="I7" s="117" t="s">
        <v>109</v>
      </c>
      <c r="J7" s="118">
        <v>11285</v>
      </c>
      <c r="K7" s="164"/>
      <c r="L7" s="164"/>
      <c r="M7" s="125">
        <v>21</v>
      </c>
      <c r="N7" s="125">
        <v>5</v>
      </c>
      <c r="O7" s="89">
        <f t="shared" si="4"/>
        <v>9114.8076923076933</v>
      </c>
      <c r="P7" s="44">
        <f t="shared" si="5"/>
        <v>2170.1923076923076</v>
      </c>
      <c r="Q7" s="44">
        <f t="shared" si="6"/>
        <v>11285</v>
      </c>
      <c r="R7" s="126">
        <f t="shared" si="7"/>
        <v>0</v>
      </c>
    </row>
    <row r="8" spans="1:18" s="6" customFormat="1" ht="14.25">
      <c r="A8" s="159" t="s">
        <v>128</v>
      </c>
      <c r="B8" s="160" t="s">
        <v>130</v>
      </c>
      <c r="C8" s="117" t="s">
        <v>106</v>
      </c>
      <c r="D8" s="117">
        <v>17</v>
      </c>
      <c r="E8" s="117" t="s">
        <v>106</v>
      </c>
      <c r="F8" s="118">
        <v>9916</v>
      </c>
      <c r="G8" s="117" t="s">
        <v>106</v>
      </c>
      <c r="H8" s="117">
        <v>18</v>
      </c>
      <c r="I8" s="117" t="s">
        <v>109</v>
      </c>
      <c r="J8" s="118">
        <v>10421</v>
      </c>
      <c r="K8" s="165">
        <v>42051</v>
      </c>
      <c r="L8" s="165">
        <v>42416</v>
      </c>
      <c r="M8" s="125">
        <v>9</v>
      </c>
      <c r="N8" s="125">
        <v>17</v>
      </c>
      <c r="O8" s="89">
        <f t="shared" si="4"/>
        <v>3432.4615384615381</v>
      </c>
      <c r="P8" s="44">
        <f t="shared" si="5"/>
        <v>6813.7307692307695</v>
      </c>
      <c r="Q8" s="44">
        <f t="shared" si="6"/>
        <v>10246.192307692309</v>
      </c>
      <c r="R8" s="126">
        <f t="shared" si="7"/>
        <v>330.19230769230853</v>
      </c>
    </row>
    <row r="9" spans="1:18" s="6" customFormat="1" ht="14.25">
      <c r="A9" s="159" t="s">
        <v>128</v>
      </c>
      <c r="B9" s="159" t="s">
        <v>131</v>
      </c>
      <c r="C9" s="117" t="s">
        <v>106</v>
      </c>
      <c r="D9" s="117">
        <v>16</v>
      </c>
      <c r="E9" s="117" t="s">
        <v>107</v>
      </c>
      <c r="F9" s="118">
        <v>9434</v>
      </c>
      <c r="G9" s="117" t="s">
        <v>106</v>
      </c>
      <c r="H9" s="117">
        <v>17</v>
      </c>
      <c r="I9" s="117" t="s">
        <v>106</v>
      </c>
      <c r="J9" s="118">
        <v>9916</v>
      </c>
      <c r="K9" s="164">
        <v>42058</v>
      </c>
      <c r="L9" s="164">
        <v>42423</v>
      </c>
      <c r="M9" s="125">
        <v>9</v>
      </c>
      <c r="N9" s="125">
        <v>17</v>
      </c>
      <c r="O9" s="89">
        <f t="shared" si="4"/>
        <v>3265.6153846153848</v>
      </c>
      <c r="P9" s="44">
        <f t="shared" si="5"/>
        <v>6483.538461538461</v>
      </c>
      <c r="Q9" s="44">
        <f t="shared" si="6"/>
        <v>9749.1538461538457</v>
      </c>
      <c r="R9" s="126">
        <f t="shared" si="7"/>
        <v>315.15384615384573</v>
      </c>
    </row>
    <row r="10" spans="1:18" s="6" customFormat="1" ht="14.25">
      <c r="A10" s="159" t="s">
        <v>128</v>
      </c>
      <c r="B10" s="159" t="s">
        <v>124</v>
      </c>
      <c r="C10" s="117" t="s">
        <v>106</v>
      </c>
      <c r="D10" s="117">
        <v>12</v>
      </c>
      <c r="E10" s="117" t="s">
        <v>109</v>
      </c>
      <c r="F10" s="118">
        <v>8208</v>
      </c>
      <c r="G10" s="117" t="s">
        <v>106</v>
      </c>
      <c r="H10" s="117">
        <v>14</v>
      </c>
      <c r="I10" s="117" t="s">
        <v>107</v>
      </c>
      <c r="J10" s="118">
        <v>8626</v>
      </c>
      <c r="K10" s="164">
        <v>42229</v>
      </c>
      <c r="L10" s="164">
        <v>42595</v>
      </c>
      <c r="M10" s="125">
        <v>22</v>
      </c>
      <c r="N10" s="125">
        <v>4</v>
      </c>
      <c r="O10" s="89">
        <f t="shared" si="1"/>
        <v>6945.2307692307686</v>
      </c>
      <c r="P10" s="44">
        <f t="shared" si="0"/>
        <v>1327.0769230769231</v>
      </c>
      <c r="Q10" s="44">
        <f t="shared" si="2"/>
        <v>8272.3076923076915</v>
      </c>
      <c r="R10" s="126">
        <f t="shared" si="3"/>
        <v>64.307692307691468</v>
      </c>
    </row>
    <row r="11" spans="1:18" s="6" customFormat="1" ht="14.25">
      <c r="A11" s="159" t="s">
        <v>128</v>
      </c>
      <c r="B11" s="159" t="s">
        <v>132</v>
      </c>
      <c r="C11" s="117" t="s">
        <v>106</v>
      </c>
      <c r="D11" s="117">
        <v>15</v>
      </c>
      <c r="E11" s="117" t="s">
        <v>110</v>
      </c>
      <c r="F11" s="118">
        <v>8977</v>
      </c>
      <c r="G11" s="117" t="s">
        <v>106</v>
      </c>
      <c r="H11" s="117">
        <v>16</v>
      </c>
      <c r="I11" s="117" t="s">
        <v>107</v>
      </c>
      <c r="J11" s="118">
        <v>9434</v>
      </c>
      <c r="K11" s="164">
        <v>42006</v>
      </c>
      <c r="L11" s="164">
        <v>42371</v>
      </c>
      <c r="M11" s="125">
        <v>6</v>
      </c>
      <c r="N11" s="125">
        <v>20</v>
      </c>
      <c r="O11" s="89">
        <f t="shared" si="1"/>
        <v>2071.6153846153848</v>
      </c>
      <c r="P11" s="44">
        <f t="shared" si="0"/>
        <v>7256.9230769230771</v>
      </c>
      <c r="Q11" s="44">
        <f t="shared" si="2"/>
        <v>9328.538461538461</v>
      </c>
      <c r="R11" s="126">
        <f t="shared" si="3"/>
        <v>351.53846153846098</v>
      </c>
    </row>
    <row r="12" spans="1:18" s="6" customFormat="1" ht="14.25">
      <c r="A12" s="159" t="s">
        <v>128</v>
      </c>
      <c r="B12" s="159" t="s">
        <v>133</v>
      </c>
      <c r="C12" s="117" t="s">
        <v>106</v>
      </c>
      <c r="D12" s="117">
        <v>10</v>
      </c>
      <c r="E12" s="117" t="s">
        <v>106</v>
      </c>
      <c r="F12" s="118">
        <v>7505</v>
      </c>
      <c r="G12" s="117" t="s">
        <v>106</v>
      </c>
      <c r="H12" s="117">
        <v>11</v>
      </c>
      <c r="I12" s="117" t="s">
        <v>109</v>
      </c>
      <c r="J12" s="118">
        <v>7887</v>
      </c>
      <c r="K12" s="164">
        <v>42161</v>
      </c>
      <c r="L12" s="164">
        <v>42527</v>
      </c>
      <c r="M12" s="125">
        <v>18</v>
      </c>
      <c r="N12" s="125">
        <v>8</v>
      </c>
      <c r="O12" s="89">
        <f t="shared" si="1"/>
        <v>5195.7692307692305</v>
      </c>
      <c r="P12" s="44">
        <f t="shared" si="0"/>
        <v>2426.7692307692309</v>
      </c>
      <c r="Q12" s="44">
        <f t="shared" si="2"/>
        <v>7622.538461538461</v>
      </c>
      <c r="R12" s="126">
        <f t="shared" si="3"/>
        <v>117.53846153846098</v>
      </c>
    </row>
    <row r="13" spans="1:18" s="6" customFormat="1" ht="14.25">
      <c r="A13" s="159" t="s">
        <v>128</v>
      </c>
      <c r="B13" s="159" t="s">
        <v>134</v>
      </c>
      <c r="C13" s="125" t="s">
        <v>106</v>
      </c>
      <c r="D13" s="117">
        <v>10</v>
      </c>
      <c r="E13" s="117" t="s">
        <v>106</v>
      </c>
      <c r="F13" s="118">
        <v>7505</v>
      </c>
      <c r="G13" s="125" t="s">
        <v>106</v>
      </c>
      <c r="H13" s="117">
        <v>11</v>
      </c>
      <c r="I13" s="117" t="s">
        <v>109</v>
      </c>
      <c r="J13" s="118">
        <v>7887</v>
      </c>
      <c r="K13" s="164">
        <v>42161</v>
      </c>
      <c r="L13" s="164">
        <v>42527</v>
      </c>
      <c r="M13" s="125">
        <v>18</v>
      </c>
      <c r="N13" s="125">
        <v>8</v>
      </c>
      <c r="O13" s="89">
        <f t="shared" si="1"/>
        <v>5195.7692307692305</v>
      </c>
      <c r="P13" s="44">
        <f t="shared" si="0"/>
        <v>2426.7692307692309</v>
      </c>
      <c r="Q13" s="44">
        <f t="shared" si="2"/>
        <v>7622.538461538461</v>
      </c>
      <c r="R13" s="126">
        <f t="shared" si="3"/>
        <v>117.53846153846098</v>
      </c>
    </row>
    <row r="14" spans="1:18" s="6" customFormat="1">
      <c r="A14" s="159" t="s">
        <v>135</v>
      </c>
      <c r="B14" s="159" t="s">
        <v>136</v>
      </c>
      <c r="C14" s="117"/>
      <c r="D14" s="117"/>
      <c r="E14" s="117"/>
      <c r="F14" s="124">
        <v>15000</v>
      </c>
      <c r="G14" s="161"/>
      <c r="H14" s="117"/>
      <c r="I14" s="117"/>
      <c r="J14" s="163">
        <v>15000</v>
      </c>
      <c r="K14" s="118"/>
      <c r="L14" s="125"/>
      <c r="M14" s="125"/>
      <c r="N14" s="118">
        <v>0</v>
      </c>
      <c r="O14" s="118">
        <v>0</v>
      </c>
      <c r="P14" s="118">
        <v>15000</v>
      </c>
      <c r="Q14" s="162">
        <v>15000</v>
      </c>
      <c r="R14"/>
    </row>
    <row r="15" spans="1:18" s="6" customFormat="1" thickBot="1">
      <c r="F15" s="121">
        <f>SUM(F3:F13)</f>
        <v>122830</v>
      </c>
      <c r="G15" s="122"/>
      <c r="H15" s="122"/>
      <c r="I15" s="122"/>
      <c r="J15" s="121">
        <f>SUM(J3:J14)</f>
        <v>142393</v>
      </c>
      <c r="K15" s="119"/>
      <c r="L15" s="119"/>
      <c r="M15" s="119"/>
      <c r="N15" s="119"/>
      <c r="O15" s="120">
        <f>SUM(O3:O14)</f>
        <v>69000.230769230766</v>
      </c>
      <c r="P15" s="120">
        <f t="shared" ref="P15:R15" si="8">SUM(P3:P14)</f>
        <v>71062.269230769249</v>
      </c>
      <c r="Q15" s="120">
        <f t="shared" si="8"/>
        <v>140062.5</v>
      </c>
      <c r="R15" s="120">
        <f t="shared" si="8"/>
        <v>2232.4999999999982</v>
      </c>
    </row>
    <row r="16" spans="1:18" s="6" customFormat="1" thickTop="1">
      <c r="Q16" s="28">
        <f>+Q15-Q14</f>
        <v>125062.5</v>
      </c>
    </row>
    <row r="17" spans="1:10" s="6" customFormat="1" ht="14.25">
      <c r="A17" s="6" t="s">
        <v>47</v>
      </c>
    </row>
    <row r="18" spans="1:10">
      <c r="F18" s="116"/>
      <c r="J18" s="116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F14" sqref="F14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21.7109375" style="6" customWidth="1"/>
    <col min="7" max="7" width="12.85546875" style="6" bestFit="1" customWidth="1"/>
    <col min="8" max="8" width="13.140625" style="6" customWidth="1"/>
  </cols>
  <sheetData>
    <row r="1" spans="1:15">
      <c r="A1" s="90" t="s">
        <v>79</v>
      </c>
      <c r="B1" s="91" t="s">
        <v>40</v>
      </c>
      <c r="C1" s="92" t="s">
        <v>14</v>
      </c>
      <c r="D1" s="92" t="s">
        <v>15</v>
      </c>
      <c r="E1" s="93" t="s">
        <v>16</v>
      </c>
      <c r="F1" s="93" t="s">
        <v>17</v>
      </c>
      <c r="G1" s="91" t="s">
        <v>18</v>
      </c>
    </row>
    <row r="2" spans="1:15">
      <c r="A2" s="123" t="s">
        <v>119</v>
      </c>
      <c r="B2" s="131">
        <f>IF(('3.Pay Level'!Q3*0.075)&gt;=2100,2100,'3.Pay Level'!Q3*0.075)</f>
        <v>1506.0721153846155</v>
      </c>
      <c r="C2" s="131">
        <f>SUM('3.Pay Level'!Q3*0.03)</f>
        <v>602.42884615384617</v>
      </c>
      <c r="D2" s="128">
        <v>7200</v>
      </c>
      <c r="E2" s="118">
        <v>208</v>
      </c>
      <c r="F2" s="132">
        <f>SUM(('3.Pay Level'!Q3*2)*0.00038)*26</f>
        <v>396.7998</v>
      </c>
      <c r="G2" s="128">
        <f>SUM(B2:F2)</f>
        <v>9913.3007615384631</v>
      </c>
    </row>
    <row r="3" spans="1:15">
      <c r="A3" s="123" t="s">
        <v>122</v>
      </c>
      <c r="B3" s="131">
        <f>IF(('3.Pay Level'!Q4*0.075)&gt;=2100,2100,'3.Pay Level'!Q4*0.075)</f>
        <v>1241.2326923076923</v>
      </c>
      <c r="C3" s="131">
        <f>SUM('3.Pay Level'!Q4*0.03)</f>
        <v>496.4930769230769</v>
      </c>
      <c r="D3" s="128"/>
      <c r="E3" s="118">
        <v>215</v>
      </c>
      <c r="F3" s="132">
        <f>SUM(('3.Pay Level'!Q4*2)*0.00038)*26</f>
        <v>327.02343999999999</v>
      </c>
      <c r="G3" s="128">
        <f t="shared" ref="G3:G13" si="0">SUM(B3:F3)</f>
        <v>2279.7492092307693</v>
      </c>
    </row>
    <row r="4" spans="1:15">
      <c r="A4" s="159" t="s">
        <v>124</v>
      </c>
      <c r="B4" s="131">
        <f>IF(('3.Pay Level'!Q5*0.075)&gt;=2100,2100,'3.Pay Level'!Q5*0.075)</f>
        <v>942</v>
      </c>
      <c r="C4" s="131">
        <f>SUM('3.Pay Level'!Q5*0.03)</f>
        <v>376.8</v>
      </c>
      <c r="D4" s="128"/>
      <c r="E4" s="118">
        <v>208</v>
      </c>
      <c r="F4" s="132">
        <f>SUM(('3.Pay Level'!Q5*2)*0.00038)*26</f>
        <v>248.18560000000002</v>
      </c>
      <c r="G4" s="128">
        <f t="shared" si="0"/>
        <v>1774.9856</v>
      </c>
    </row>
    <row r="5" spans="1:15">
      <c r="A5" s="159" t="s">
        <v>127</v>
      </c>
      <c r="B5" s="131">
        <f>IF(('3.Pay Level'!Q6*0.075)&gt;=2100,2100,'3.Pay Level'!Q6*0.075)</f>
        <v>880.91250000000002</v>
      </c>
      <c r="C5" s="131">
        <f>SUM('3.Pay Level'!Q6*0.03)</f>
        <v>352.36500000000001</v>
      </c>
      <c r="D5" s="128"/>
      <c r="E5" s="118">
        <v>152</v>
      </c>
      <c r="F5" s="132">
        <f>SUM(('3.Pay Level'!Q6*2)*0.00038)*26</f>
        <v>232.09108000000003</v>
      </c>
      <c r="G5" s="128">
        <f t="shared" si="0"/>
        <v>1617.3685800000003</v>
      </c>
    </row>
    <row r="6" spans="1:15">
      <c r="A6" s="159" t="s">
        <v>129</v>
      </c>
      <c r="B6" s="131">
        <f>IF(('3.Pay Level'!Q7*0.075)&gt;=2100,2100,'3.Pay Level'!Q7*0.075)</f>
        <v>846.375</v>
      </c>
      <c r="C6" s="131">
        <f>SUM('3.Pay Level'!Q7*0.03)</f>
        <v>338.55</v>
      </c>
      <c r="D6" s="128"/>
      <c r="E6" s="118">
        <v>208</v>
      </c>
      <c r="F6" s="132">
        <f>SUM(('3.Pay Level'!Q7*2)*0.00038)*26</f>
        <v>222.99160000000003</v>
      </c>
      <c r="G6" s="128">
        <f t="shared" si="0"/>
        <v>1615.9166</v>
      </c>
    </row>
    <row r="7" spans="1:15">
      <c r="A7" s="160" t="s">
        <v>130</v>
      </c>
      <c r="B7" s="131">
        <f>IF(('3.Pay Level'!Q8*0.075)&gt;=2100,2100,'3.Pay Level'!Q8*0.075)</f>
        <v>768.46442307692314</v>
      </c>
      <c r="C7" s="131">
        <f>SUM('3.Pay Level'!Q8*0.03)</f>
        <v>307.38576923076926</v>
      </c>
      <c r="D7" s="128"/>
      <c r="E7" s="118">
        <v>208</v>
      </c>
      <c r="F7" s="132">
        <f>SUM(('3.Pay Level'!Q8*2)*0.00038)*26</f>
        <v>202.46476000000004</v>
      </c>
      <c r="G7" s="128">
        <f t="shared" si="0"/>
        <v>1486.3149523076925</v>
      </c>
      <c r="H7" s="33"/>
    </row>
    <row r="8" spans="1:15">
      <c r="A8" s="159" t="s">
        <v>131</v>
      </c>
      <c r="B8" s="131">
        <f>IF(('3.Pay Level'!Q9*0.075)&gt;=2100,2100,'3.Pay Level'!Q9*0.075)</f>
        <v>731.18653846153836</v>
      </c>
      <c r="C8" s="131">
        <f>SUM('3.Pay Level'!Q9*0.03)</f>
        <v>292.47461538461533</v>
      </c>
      <c r="D8" s="128"/>
      <c r="E8" s="118">
        <v>208</v>
      </c>
      <c r="F8" s="132">
        <f>SUM(('3.Pay Level'!Q9*2)*0.00038)*26</f>
        <v>192.64328</v>
      </c>
      <c r="G8" s="128">
        <f t="shared" si="0"/>
        <v>1424.3044338461536</v>
      </c>
      <c r="H8" s="33"/>
    </row>
    <row r="9" spans="1:15">
      <c r="A9" s="159" t="s">
        <v>124</v>
      </c>
      <c r="B9" s="131">
        <f>IF(('3.Pay Level'!Q10*0.075)&gt;=2100,2100,'3.Pay Level'!Q10*0.075)</f>
        <v>620.42307692307679</v>
      </c>
      <c r="C9" s="131">
        <f>SUM('3.Pay Level'!Q10*0.03)</f>
        <v>248.16923076923072</v>
      </c>
      <c r="D9" s="128"/>
      <c r="E9" s="118">
        <v>208</v>
      </c>
      <c r="F9" s="132">
        <f>SUM(('3.Pay Level'!Q10*2)*0.00038)*26</f>
        <v>163.46080000000001</v>
      </c>
      <c r="G9" s="128">
        <f t="shared" si="0"/>
        <v>1240.0531076923075</v>
      </c>
      <c r="H9" s="33"/>
    </row>
    <row r="10" spans="1:15">
      <c r="A10" s="159" t="s">
        <v>132</v>
      </c>
      <c r="B10" s="131">
        <f>IF(('3.Pay Level'!Q11*0.075)&gt;=2100,2100,'3.Pay Level'!Q11*0.075)</f>
        <v>699.64038461538451</v>
      </c>
      <c r="C10" s="131">
        <f>SUM('3.Pay Level'!Q11*0.03)</f>
        <v>279.8561538461538</v>
      </c>
      <c r="D10" s="128"/>
      <c r="E10" s="118">
        <v>208</v>
      </c>
      <c r="F10" s="132">
        <f>SUM(('3.Pay Level'!Q11*2)*0.00038)*26</f>
        <v>184.33192</v>
      </c>
      <c r="G10" s="128">
        <f t="shared" si="0"/>
        <v>1371.8284584615385</v>
      </c>
      <c r="H10" s="33"/>
    </row>
    <row r="11" spans="1:15">
      <c r="A11" s="159" t="s">
        <v>133</v>
      </c>
      <c r="B11" s="131">
        <f>IF(('3.Pay Level'!Q12*0.075)&gt;=2100,2100,'3.Pay Level'!Q12*0.075)</f>
        <v>571.69038461538457</v>
      </c>
      <c r="C11" s="131">
        <f>SUM('3.Pay Level'!Q12*0.03)</f>
        <v>228.67615384615382</v>
      </c>
      <c r="D11" s="128"/>
      <c r="E11" s="118">
        <v>208</v>
      </c>
      <c r="F11" s="132">
        <f>SUM(('3.Pay Level'!Q12*2)*0.00038)*26</f>
        <v>150.62136000000001</v>
      </c>
      <c r="G11" s="128">
        <f t="shared" si="0"/>
        <v>1158.9878984615384</v>
      </c>
      <c r="H11" s="33"/>
    </row>
    <row r="12" spans="1:15">
      <c r="A12" s="159" t="s">
        <v>134</v>
      </c>
      <c r="B12" s="131">
        <f>IF(('3.Pay Level'!Q13*0.075)&gt;=2100,2100,'3.Pay Level'!Q13*0.075)</f>
        <v>571.69038461538457</v>
      </c>
      <c r="C12" s="131">
        <f>SUM('3.Pay Level'!Q13*0.03)</f>
        <v>228.67615384615382</v>
      </c>
      <c r="D12" s="128"/>
      <c r="E12" s="118">
        <v>208</v>
      </c>
      <c r="F12" s="132">
        <f>SUM(('3.Pay Level'!Q13*2)*0.00038)*26</f>
        <v>150.62136000000001</v>
      </c>
      <c r="G12" s="128">
        <f t="shared" si="0"/>
        <v>1158.9878984615384</v>
      </c>
      <c r="H12" s="33"/>
    </row>
    <row r="13" spans="1:15">
      <c r="A13" s="159"/>
      <c r="B13" s="131">
        <f>IF(('3.Pay Level'!Q14*0.075)&gt;=2100,2100,'3.Pay Level'!Q14*0.075)</f>
        <v>1125</v>
      </c>
      <c r="C13" s="131"/>
      <c r="D13" s="128"/>
      <c r="E13" s="118"/>
      <c r="F13" s="132"/>
      <c r="G13" s="128">
        <f t="shared" si="0"/>
        <v>1125</v>
      </c>
      <c r="H13" s="33"/>
    </row>
    <row r="14" spans="1:15" ht="15.75" thickBot="1">
      <c r="A14" s="2"/>
      <c r="B14" s="127">
        <f>SUM(B2:B13)</f>
        <v>10504.6875</v>
      </c>
      <c r="C14" s="127">
        <f t="shared" ref="C14:G14" si="1">SUM(C2:C13)</f>
        <v>3751.875</v>
      </c>
      <c r="D14" s="127">
        <f t="shared" si="1"/>
        <v>7200</v>
      </c>
      <c r="E14" s="127">
        <f t="shared" si="1"/>
        <v>2239</v>
      </c>
      <c r="F14" s="127">
        <f t="shared" si="1"/>
        <v>2471.2350000000006</v>
      </c>
      <c r="G14" s="127">
        <f t="shared" si="1"/>
        <v>26166.797500000004</v>
      </c>
    </row>
    <row r="15" spans="1:15" ht="15.75" thickTop="1"/>
    <row r="16" spans="1:15">
      <c r="O16" s="130"/>
    </row>
    <row r="19" spans="1:1">
      <c r="A19" s="5" t="s">
        <v>66</v>
      </c>
    </row>
    <row r="20" spans="1:1">
      <c r="A20" s="6" t="s">
        <v>92</v>
      </c>
    </row>
    <row r="21" spans="1:1">
      <c r="A21" s="6" t="s">
        <v>64</v>
      </c>
    </row>
    <row r="22" spans="1:1">
      <c r="A22" s="6" t="s">
        <v>93</v>
      </c>
    </row>
    <row r="23" spans="1:1">
      <c r="A23" s="6" t="s">
        <v>70</v>
      </c>
    </row>
    <row r="35" spans="5:5">
      <c r="E35" s="129"/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28" workbookViewId="0">
      <selection activeCell="F42" sqref="F42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4" customWidth="1"/>
    <col min="7" max="7" width="10.42578125" style="6" customWidth="1"/>
    <col min="8" max="8" width="11.5703125" style="44" bestFit="1" customWidth="1"/>
    <col min="9" max="9" width="8.85546875" style="6"/>
    <col min="10" max="10" width="11.7109375" style="44" customWidth="1"/>
    <col min="11" max="11" width="10" style="6" bestFit="1" customWidth="1"/>
    <col min="12" max="12" width="12.7109375" style="6" bestFit="1" customWidth="1"/>
    <col min="13" max="13" width="8.85546875" style="13"/>
    <col min="14" max="14" width="8.85546875" style="6"/>
    <col min="15" max="15" width="11.7109375" style="6" customWidth="1"/>
    <col min="16" max="27" width="8.85546875" style="6"/>
  </cols>
  <sheetData>
    <row r="1" spans="1:15" ht="15.75">
      <c r="A1" s="12" t="s">
        <v>4</v>
      </c>
      <c r="B1" s="29"/>
      <c r="C1" s="29"/>
      <c r="D1" s="13"/>
      <c r="E1" s="8"/>
      <c r="F1" s="64"/>
      <c r="G1" s="8"/>
      <c r="H1" s="64"/>
      <c r="I1" s="13"/>
      <c r="J1" s="67"/>
      <c r="L1" s="13"/>
    </row>
    <row r="2" spans="1:15">
      <c r="A2" s="14"/>
      <c r="B2" s="235" t="s">
        <v>29</v>
      </c>
      <c r="C2" s="235"/>
      <c r="D2" s="235"/>
      <c r="E2" s="150" t="s">
        <v>112</v>
      </c>
      <c r="F2" s="151">
        <v>1.1000000000000001</v>
      </c>
      <c r="G2" s="150" t="s">
        <v>112</v>
      </c>
      <c r="H2" s="151">
        <v>2.1</v>
      </c>
      <c r="I2" s="150" t="s">
        <v>112</v>
      </c>
      <c r="J2" s="151">
        <v>3.1</v>
      </c>
      <c r="K2" s="233" t="s">
        <v>18</v>
      </c>
      <c r="L2" s="234"/>
    </row>
    <row r="3" spans="1:15">
      <c r="A3" s="17" t="s">
        <v>54</v>
      </c>
      <c r="B3" s="18" t="s">
        <v>48</v>
      </c>
      <c r="C3" s="19" t="s">
        <v>69</v>
      </c>
      <c r="D3" s="149" t="s">
        <v>30</v>
      </c>
      <c r="E3" s="20" t="s">
        <v>55</v>
      </c>
      <c r="F3" s="65" t="s">
        <v>56</v>
      </c>
      <c r="G3" s="20" t="s">
        <v>55</v>
      </c>
      <c r="H3" s="65" t="s">
        <v>56</v>
      </c>
      <c r="I3" s="147" t="s">
        <v>55</v>
      </c>
      <c r="J3" s="148" t="s">
        <v>56</v>
      </c>
      <c r="K3" s="22" t="s">
        <v>55</v>
      </c>
      <c r="L3" s="72" t="s">
        <v>56</v>
      </c>
    </row>
    <row r="4" spans="1:15">
      <c r="A4" s="123" t="s">
        <v>119</v>
      </c>
      <c r="B4" s="51">
        <f>SUM('3.Pay Level'!F3)</f>
        <v>19287</v>
      </c>
      <c r="C4" s="51">
        <f>SUM('3.Pay Level'!Q3)</f>
        <v>20080.961538461539</v>
      </c>
      <c r="D4" s="23">
        <f>C4+'4.Fringe_Benefits'!G2</f>
        <v>29994.262300000002</v>
      </c>
      <c r="E4" s="24">
        <v>25</v>
      </c>
      <c r="F4" s="66">
        <f>SUM(D4*E4%)</f>
        <v>7498.5655750000005</v>
      </c>
      <c r="G4" s="24">
        <v>25</v>
      </c>
      <c r="H4" s="66">
        <f>G4*$D4/100</f>
        <v>7498.5655750000014</v>
      </c>
      <c r="I4" s="24">
        <v>50</v>
      </c>
      <c r="J4" s="66">
        <f>I4*$D4/100</f>
        <v>14997.131150000003</v>
      </c>
      <c r="K4" s="25">
        <f>+E4+G4+I4</f>
        <v>100</v>
      </c>
      <c r="L4" s="67">
        <f>+F4+H4+J4</f>
        <v>29994.262300000002</v>
      </c>
    </row>
    <row r="5" spans="1:15">
      <c r="A5" s="123" t="s">
        <v>122</v>
      </c>
      <c r="B5" s="51">
        <f>SUM('3.Pay Level'!F4)</f>
        <v>16421</v>
      </c>
      <c r="C5" s="51">
        <f>SUM('3.Pay Level'!Q4)</f>
        <v>16549.76923076923</v>
      </c>
      <c r="D5" s="23">
        <f>C5+'4.Fringe_Benefits'!G3</f>
        <v>18829.51844</v>
      </c>
      <c r="E5" s="24">
        <v>25</v>
      </c>
      <c r="F5" s="66">
        <f>E5*$D5/100</f>
        <v>4707.37961</v>
      </c>
      <c r="G5" s="24">
        <v>60</v>
      </c>
      <c r="H5" s="66">
        <f>G5*$D5/100</f>
        <v>11297.711063999999</v>
      </c>
      <c r="I5" s="24">
        <v>15</v>
      </c>
      <c r="J5" s="66">
        <f>I5*$D5/100</f>
        <v>2824.4277659999998</v>
      </c>
      <c r="K5" s="25">
        <f t="shared" ref="K5:K15" si="0">+E5+G5+I5</f>
        <v>100</v>
      </c>
      <c r="L5" s="67">
        <f t="shared" ref="L5:L15" si="1">+F5+H5+J5</f>
        <v>18829.51844</v>
      </c>
    </row>
    <row r="6" spans="1:15">
      <c r="A6" s="159" t="s">
        <v>124</v>
      </c>
      <c r="B6" s="51">
        <f>SUM('3.Pay Level'!F5)</f>
        <v>12560</v>
      </c>
      <c r="C6" s="51">
        <f>SUM('3.Pay Level'!Q5)</f>
        <v>12560</v>
      </c>
      <c r="D6" s="23">
        <f>C6+'4.Fringe_Benefits'!G4</f>
        <v>14334.9856</v>
      </c>
      <c r="E6" s="24">
        <v>70</v>
      </c>
      <c r="F6" s="66">
        <f>E6*$D6/100</f>
        <v>10034.48992</v>
      </c>
      <c r="G6" s="24">
        <v>30</v>
      </c>
      <c r="H6" s="66">
        <f>G6*$D6/100</f>
        <v>4300.49568</v>
      </c>
      <c r="I6" s="24">
        <v>0</v>
      </c>
      <c r="J6" s="66">
        <f t="shared" ref="J6:J15" si="2">I6*$D6/100</f>
        <v>0</v>
      </c>
      <c r="K6" s="25">
        <f t="shared" si="0"/>
        <v>100</v>
      </c>
      <c r="L6" s="67">
        <f t="shared" si="1"/>
        <v>14334.9856</v>
      </c>
    </row>
    <row r="7" spans="1:15">
      <c r="A7" s="159" t="s">
        <v>127</v>
      </c>
      <c r="B7" s="51">
        <f>SUM('3.Pay Level'!F6)</f>
        <v>11732</v>
      </c>
      <c r="C7" s="51">
        <f>SUM('3.Pay Level'!Q6)</f>
        <v>11745.5</v>
      </c>
      <c r="D7" s="23">
        <f>C7+'4.Fringe_Benefits'!G5</f>
        <v>13362.86858</v>
      </c>
      <c r="E7" s="24">
        <v>70</v>
      </c>
      <c r="F7" s="66">
        <f>E7*$D7/100</f>
        <v>9354.008006</v>
      </c>
      <c r="G7" s="24">
        <v>30</v>
      </c>
      <c r="H7" s="66">
        <f t="shared" ref="H7:H15" si="3">G7*$D7/100</f>
        <v>4008.8605739999998</v>
      </c>
      <c r="I7" s="24">
        <v>0</v>
      </c>
      <c r="J7" s="66">
        <f t="shared" si="2"/>
        <v>0</v>
      </c>
      <c r="K7" s="25">
        <f t="shared" si="0"/>
        <v>100</v>
      </c>
      <c r="L7" s="67">
        <f t="shared" si="1"/>
        <v>13362.86858</v>
      </c>
    </row>
    <row r="8" spans="1:15">
      <c r="A8" s="159" t="s">
        <v>129</v>
      </c>
      <c r="B8" s="51">
        <f>SUM('3.Pay Level'!F7)</f>
        <v>11285</v>
      </c>
      <c r="C8" s="51">
        <f>SUM('3.Pay Level'!Q7)</f>
        <v>11285</v>
      </c>
      <c r="D8" s="23">
        <f>C8+'4.Fringe_Benefits'!G6</f>
        <v>12900.9166</v>
      </c>
      <c r="E8" s="24">
        <v>70</v>
      </c>
      <c r="F8" s="66">
        <f>E8*$D8/100</f>
        <v>9030.6416200000003</v>
      </c>
      <c r="G8" s="24">
        <v>30</v>
      </c>
      <c r="H8" s="66">
        <f t="shared" si="3"/>
        <v>3870.2749800000001</v>
      </c>
      <c r="I8" s="24">
        <v>0</v>
      </c>
      <c r="J8" s="66">
        <f t="shared" si="2"/>
        <v>0</v>
      </c>
      <c r="K8" s="25">
        <f t="shared" si="0"/>
        <v>100</v>
      </c>
      <c r="L8" s="67">
        <f t="shared" si="1"/>
        <v>12900.9166</v>
      </c>
    </row>
    <row r="9" spans="1:15">
      <c r="A9" s="160" t="s">
        <v>130</v>
      </c>
      <c r="B9" s="51">
        <f>SUM('3.Pay Level'!F8)</f>
        <v>9916</v>
      </c>
      <c r="C9" s="51">
        <f>SUM('3.Pay Level'!Q8)</f>
        <v>10246.192307692309</v>
      </c>
      <c r="D9" s="23">
        <f>C9+'4.Fringe_Benefits'!G7</f>
        <v>11732.50726</v>
      </c>
      <c r="E9" s="24">
        <v>70</v>
      </c>
      <c r="F9" s="66">
        <f t="shared" ref="F9:F13" si="4">E9*$D9/100</f>
        <v>8212.7550819999997</v>
      </c>
      <c r="G9" s="24">
        <v>30</v>
      </c>
      <c r="H9" s="66">
        <f t="shared" si="3"/>
        <v>3519.7521779999997</v>
      </c>
      <c r="I9" s="24">
        <v>0</v>
      </c>
      <c r="J9" s="66">
        <f t="shared" si="2"/>
        <v>0</v>
      </c>
      <c r="K9" s="25">
        <f t="shared" si="0"/>
        <v>100</v>
      </c>
      <c r="L9" s="67">
        <f t="shared" si="1"/>
        <v>11732.507259999998</v>
      </c>
    </row>
    <row r="10" spans="1:15">
      <c r="A10" s="159" t="s">
        <v>131</v>
      </c>
      <c r="B10" s="51">
        <f>SUM('3.Pay Level'!F9)</f>
        <v>9434</v>
      </c>
      <c r="C10" s="51">
        <f>SUM('3.Pay Level'!Q9)</f>
        <v>9749.1538461538457</v>
      </c>
      <c r="D10" s="23">
        <f>C10+'4.Fringe_Benefits'!G8</f>
        <v>11173.458279999999</v>
      </c>
      <c r="E10" s="24">
        <v>70</v>
      </c>
      <c r="F10" s="66">
        <f t="shared" si="4"/>
        <v>7821.4207959999994</v>
      </c>
      <c r="G10" s="24">
        <v>30</v>
      </c>
      <c r="H10" s="66">
        <f t="shared" si="3"/>
        <v>3352.0374839999999</v>
      </c>
      <c r="I10" s="24"/>
      <c r="J10" s="66">
        <f t="shared" si="2"/>
        <v>0</v>
      </c>
      <c r="K10" s="25">
        <f t="shared" si="0"/>
        <v>100</v>
      </c>
      <c r="L10" s="67">
        <f t="shared" si="1"/>
        <v>11173.458279999999</v>
      </c>
    </row>
    <row r="11" spans="1:15">
      <c r="A11" s="159" t="s">
        <v>124</v>
      </c>
      <c r="B11" s="51">
        <f>SUM('3.Pay Level'!F10)</f>
        <v>8208</v>
      </c>
      <c r="C11" s="51">
        <f>SUM('3.Pay Level'!Q10)</f>
        <v>8272.3076923076915</v>
      </c>
      <c r="D11" s="23">
        <f>C11+'4.Fringe_Benefits'!G9</f>
        <v>9512.3607999999986</v>
      </c>
      <c r="E11" s="24">
        <v>70</v>
      </c>
      <c r="F11" s="66">
        <f t="shared" si="4"/>
        <v>6658.6525599999995</v>
      </c>
      <c r="G11" s="24">
        <v>30</v>
      </c>
      <c r="H11" s="66">
        <f t="shared" si="3"/>
        <v>2853.7082399999995</v>
      </c>
      <c r="I11" s="24"/>
      <c r="J11" s="66">
        <f t="shared" si="2"/>
        <v>0</v>
      </c>
      <c r="K11" s="25">
        <f t="shared" si="0"/>
        <v>100</v>
      </c>
      <c r="L11" s="67">
        <f t="shared" si="1"/>
        <v>9512.3607999999986</v>
      </c>
    </row>
    <row r="12" spans="1:15">
      <c r="A12" s="159" t="s">
        <v>132</v>
      </c>
      <c r="B12" s="51">
        <f>SUM('3.Pay Level'!F11)</f>
        <v>8977</v>
      </c>
      <c r="C12" s="51">
        <f>SUM('3.Pay Level'!Q11)</f>
        <v>9328.538461538461</v>
      </c>
      <c r="D12" s="23">
        <f>C12+'4.Fringe_Benefits'!G10</f>
        <v>10700.36692</v>
      </c>
      <c r="E12" s="24">
        <v>70</v>
      </c>
      <c r="F12" s="66">
        <f t="shared" si="4"/>
        <v>7490.2568440000005</v>
      </c>
      <c r="G12" s="24">
        <v>30</v>
      </c>
      <c r="H12" s="66">
        <f t="shared" si="3"/>
        <v>3210.1100759999999</v>
      </c>
      <c r="I12" s="24">
        <v>0</v>
      </c>
      <c r="J12" s="66">
        <f t="shared" si="2"/>
        <v>0</v>
      </c>
      <c r="K12" s="25">
        <f t="shared" si="0"/>
        <v>100</v>
      </c>
      <c r="L12" s="67">
        <f t="shared" si="1"/>
        <v>10700.36692</v>
      </c>
    </row>
    <row r="13" spans="1:15">
      <c r="A13" s="159" t="s">
        <v>133</v>
      </c>
      <c r="B13" s="51">
        <f>SUM('3.Pay Level'!F12)</f>
        <v>7505</v>
      </c>
      <c r="C13" s="51">
        <f>SUM('3.Pay Level'!Q12)</f>
        <v>7622.538461538461</v>
      </c>
      <c r="D13" s="23">
        <f>C13+'4.Fringe_Benefits'!G11</f>
        <v>8781.5263599999998</v>
      </c>
      <c r="E13" s="24">
        <v>70</v>
      </c>
      <c r="F13" s="66">
        <f t="shared" si="4"/>
        <v>6147.0684519999995</v>
      </c>
      <c r="G13" s="24">
        <v>30</v>
      </c>
      <c r="H13" s="66">
        <f t="shared" si="3"/>
        <v>2634.4579080000003</v>
      </c>
      <c r="I13" s="24"/>
      <c r="J13" s="66">
        <f t="shared" si="2"/>
        <v>0</v>
      </c>
      <c r="K13" s="25">
        <f t="shared" si="0"/>
        <v>100</v>
      </c>
      <c r="L13" s="67">
        <f t="shared" si="1"/>
        <v>8781.5263599999998</v>
      </c>
    </row>
    <row r="14" spans="1:15">
      <c r="A14" s="159" t="s">
        <v>134</v>
      </c>
      <c r="B14" s="51">
        <f>SUM('3.Pay Level'!F13)</f>
        <v>7505</v>
      </c>
      <c r="C14" s="51">
        <f>SUM('3.Pay Level'!Q13)</f>
        <v>7622.538461538461</v>
      </c>
      <c r="D14" s="23">
        <f>C14+'4.Fringe_Benefits'!G12</f>
        <v>8781.5263599999998</v>
      </c>
      <c r="E14" s="24">
        <v>70</v>
      </c>
      <c r="F14" s="66">
        <f t="shared" ref="F14:F15" si="5">E14*$D14/100</f>
        <v>6147.0684519999995</v>
      </c>
      <c r="G14" s="24">
        <v>30</v>
      </c>
      <c r="H14" s="66">
        <f t="shared" si="3"/>
        <v>2634.4579080000003</v>
      </c>
      <c r="I14" s="24"/>
      <c r="J14" s="66">
        <f t="shared" si="2"/>
        <v>0</v>
      </c>
      <c r="K14" s="25">
        <f t="shared" si="0"/>
        <v>100</v>
      </c>
      <c r="L14" s="67">
        <f t="shared" si="1"/>
        <v>8781.5263599999998</v>
      </c>
    </row>
    <row r="15" spans="1:15">
      <c r="A15" s="159"/>
      <c r="B15" s="51"/>
      <c r="C15" s="51">
        <f>+'3.Pay Level'!Q14</f>
        <v>15000</v>
      </c>
      <c r="D15" s="166">
        <f>+C15+'4.Fringe_Benefits'!B13</f>
        <v>16125</v>
      </c>
      <c r="E15" s="24">
        <v>100</v>
      </c>
      <c r="F15" s="66">
        <f t="shared" si="5"/>
        <v>16125</v>
      </c>
      <c r="G15" s="24"/>
      <c r="H15" s="66">
        <f t="shared" si="3"/>
        <v>0</v>
      </c>
      <c r="I15" s="24"/>
      <c r="J15" s="66">
        <f t="shared" si="2"/>
        <v>0</v>
      </c>
      <c r="K15" s="25">
        <f t="shared" si="0"/>
        <v>100</v>
      </c>
      <c r="L15" s="67">
        <f t="shared" si="1"/>
        <v>16125</v>
      </c>
    </row>
    <row r="16" spans="1:15" ht="15.75" thickBot="1">
      <c r="A16" s="53" t="s">
        <v>18</v>
      </c>
      <c r="B16" s="60">
        <f>SUM(B4:B15)</f>
        <v>122830</v>
      </c>
      <c r="C16" s="60">
        <f>SUM(C4:C15)</f>
        <v>140062.5</v>
      </c>
      <c r="D16" s="60">
        <f>SUM(D4:D15)</f>
        <v>166229.29749999996</v>
      </c>
      <c r="E16" s="61" t="s">
        <v>22</v>
      </c>
      <c r="F16" s="62">
        <f>SUM(F4:F15)</f>
        <v>99227.306917000009</v>
      </c>
      <c r="G16" s="61" t="s">
        <v>22</v>
      </c>
      <c r="H16" s="62">
        <f>SUM(H4:H15)</f>
        <v>49180.431666999997</v>
      </c>
      <c r="I16" s="63" t="s">
        <v>1</v>
      </c>
      <c r="J16" s="62">
        <f>SUM(J4:J15)</f>
        <v>17821.558916000002</v>
      </c>
      <c r="K16" s="56" t="s">
        <v>22</v>
      </c>
      <c r="L16" s="62">
        <f>SUM(L4:L15)</f>
        <v>166229.29749999996</v>
      </c>
      <c r="O16" s="28"/>
    </row>
    <row r="17" spans="1:27" ht="15.75" thickTop="1">
      <c r="A17" s="29"/>
      <c r="B17" s="13"/>
      <c r="C17" s="30"/>
      <c r="D17" s="30"/>
      <c r="E17" s="13"/>
      <c r="F17" s="67"/>
      <c r="G17" s="31"/>
      <c r="H17" s="67"/>
      <c r="I17" s="13"/>
      <c r="J17" s="67"/>
    </row>
    <row r="18" spans="1:27" ht="15.75">
      <c r="A18" s="12" t="s">
        <v>5</v>
      </c>
      <c r="B18" s="7"/>
      <c r="C18" s="7"/>
      <c r="D18" s="8"/>
      <c r="E18" s="13"/>
      <c r="F18" s="67"/>
      <c r="G18" s="8"/>
      <c r="H18" s="64"/>
      <c r="I18" s="8"/>
      <c r="J18" s="64"/>
    </row>
    <row r="19" spans="1:27">
      <c r="A19" s="32"/>
      <c r="B19" s="32"/>
      <c r="C19" s="32"/>
      <c r="D19" s="32"/>
      <c r="E19" s="150" t="s">
        <v>112</v>
      </c>
      <c r="F19" s="151">
        <v>1.1000000000000001</v>
      </c>
      <c r="G19" s="150" t="s">
        <v>112</v>
      </c>
      <c r="H19" s="151">
        <v>2.1</v>
      </c>
      <c r="I19" s="150" t="s">
        <v>112</v>
      </c>
      <c r="J19" s="151">
        <v>3.1</v>
      </c>
      <c r="K19" s="233" t="s">
        <v>18</v>
      </c>
      <c r="L19" s="234"/>
    </row>
    <row r="20" spans="1:27">
      <c r="A20" s="16" t="s">
        <v>6</v>
      </c>
      <c r="B20" s="16" t="s">
        <v>41</v>
      </c>
      <c r="C20" s="16" t="s">
        <v>7</v>
      </c>
      <c r="D20" s="16" t="s">
        <v>8</v>
      </c>
      <c r="E20" s="20" t="s">
        <v>55</v>
      </c>
      <c r="F20" s="65" t="s">
        <v>56</v>
      </c>
      <c r="G20" s="20" t="s">
        <v>55</v>
      </c>
      <c r="H20" s="65" t="s">
        <v>56</v>
      </c>
      <c r="I20" s="20" t="s">
        <v>55</v>
      </c>
      <c r="J20" s="65" t="s">
        <v>56</v>
      </c>
      <c r="K20" s="22" t="s">
        <v>55</v>
      </c>
      <c r="L20" s="72" t="s">
        <v>56</v>
      </c>
    </row>
    <row r="21" spans="1:27" s="10" customFormat="1">
      <c r="A21" s="6" t="s">
        <v>2</v>
      </c>
      <c r="B21" s="86">
        <v>0</v>
      </c>
      <c r="C21" s="6"/>
      <c r="D21" s="6"/>
      <c r="E21" s="52">
        <v>0</v>
      </c>
      <c r="F21" s="68">
        <f>E21*$B21/100</f>
        <v>0</v>
      </c>
      <c r="G21" s="52">
        <v>0</v>
      </c>
      <c r="H21" s="68">
        <f>G21*$B21/100</f>
        <v>0</v>
      </c>
      <c r="I21" s="52">
        <v>0</v>
      </c>
      <c r="J21" s="68">
        <f>I21*$B21/100</f>
        <v>0</v>
      </c>
      <c r="K21" s="25">
        <f t="shared" ref="K21:K23" si="6">+E21+G21+I21</f>
        <v>0</v>
      </c>
      <c r="L21" s="67">
        <f t="shared" ref="L21:L23" si="7">+F21+H21+J21</f>
        <v>0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10" customFormat="1">
      <c r="A22" s="6" t="s">
        <v>3</v>
      </c>
      <c r="B22" s="33"/>
      <c r="C22" s="6"/>
      <c r="D22" s="6"/>
      <c r="E22" s="52">
        <v>0</v>
      </c>
      <c r="F22" s="68">
        <f>E22*$B22/100</f>
        <v>0</v>
      </c>
      <c r="G22" s="52">
        <v>0</v>
      </c>
      <c r="H22" s="68">
        <f>G22*$B22/100</f>
        <v>0</v>
      </c>
      <c r="I22" s="52">
        <v>0</v>
      </c>
      <c r="J22" s="68">
        <f>I22*$B22/100</f>
        <v>0</v>
      </c>
      <c r="K22" s="25">
        <f t="shared" si="6"/>
        <v>0</v>
      </c>
      <c r="L22" s="67">
        <f t="shared" si="7"/>
        <v>0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10" customFormat="1">
      <c r="A23" s="6" t="s">
        <v>83</v>
      </c>
      <c r="B23" s="33"/>
      <c r="C23" s="6"/>
      <c r="D23" s="6"/>
      <c r="E23" s="52">
        <v>0</v>
      </c>
      <c r="F23" s="68">
        <f>E23*$B23/100</f>
        <v>0</v>
      </c>
      <c r="G23" s="52">
        <v>0</v>
      </c>
      <c r="H23" s="68">
        <f>G23*$B23/100</f>
        <v>0</v>
      </c>
      <c r="I23" s="52">
        <v>0</v>
      </c>
      <c r="J23" s="68">
        <f>I23*$B23/100</f>
        <v>0</v>
      </c>
      <c r="K23" s="25">
        <f t="shared" si="6"/>
        <v>0</v>
      </c>
      <c r="L23" s="67">
        <f t="shared" si="7"/>
        <v>0</v>
      </c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0" customFormat="1" ht="15.75" thickBot="1">
      <c r="A24" s="26" t="s">
        <v>18</v>
      </c>
      <c r="B24" s="34">
        <f>SUM(B21:B23)</f>
        <v>0</v>
      </c>
      <c r="C24" s="35"/>
      <c r="D24" s="36"/>
      <c r="E24" s="37"/>
      <c r="F24" s="27">
        <f t="shared" ref="F24" si="8">SUM(F21:F23)</f>
        <v>0</v>
      </c>
      <c r="G24" s="38"/>
      <c r="H24" s="71">
        <f t="shared" ref="H24" si="9">SUM(H21:H23)</f>
        <v>0</v>
      </c>
      <c r="I24" s="37">
        <f t="shared" ref="I24:J24" si="10">SUM(I21:I23)</f>
        <v>0</v>
      </c>
      <c r="J24" s="27">
        <f t="shared" si="10"/>
        <v>0</v>
      </c>
      <c r="K24" s="56"/>
      <c r="L24" s="73">
        <f>SUM(L21:L23)</f>
        <v>0</v>
      </c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thickTop="1"/>
    <row r="26" spans="1:27" s="1" customFormat="1" ht="15.75">
      <c r="A26" s="39" t="s">
        <v>114</v>
      </c>
      <c r="B26" s="40"/>
      <c r="C26" s="40"/>
      <c r="D26" s="41"/>
      <c r="E26" s="41"/>
      <c r="F26" s="44"/>
      <c r="G26" s="41"/>
      <c r="H26" s="44"/>
      <c r="I26" s="41"/>
      <c r="J26" s="44"/>
      <c r="K26" s="41"/>
      <c r="L26" s="41"/>
      <c r="M26" s="74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2"/>
      <c r="B27" s="42"/>
      <c r="C27" s="42"/>
      <c r="D27" s="15"/>
      <c r="E27" s="150" t="s">
        <v>112</v>
      </c>
      <c r="F27" s="151">
        <v>1.1000000000000001</v>
      </c>
      <c r="G27" s="150" t="s">
        <v>112</v>
      </c>
      <c r="H27" s="151">
        <v>2.1</v>
      </c>
      <c r="I27" s="150" t="s">
        <v>112</v>
      </c>
      <c r="J27" s="151">
        <v>3.1</v>
      </c>
      <c r="K27" s="233" t="s">
        <v>18</v>
      </c>
      <c r="L27" s="234"/>
    </row>
    <row r="28" spans="1:27">
      <c r="A28" s="16" t="s">
        <v>10</v>
      </c>
      <c r="B28" s="16" t="s">
        <v>80</v>
      </c>
      <c r="C28" s="16" t="s">
        <v>12</v>
      </c>
      <c r="D28" s="20"/>
      <c r="E28" s="20" t="s">
        <v>55</v>
      </c>
      <c r="F28" s="65" t="s">
        <v>56</v>
      </c>
      <c r="G28" s="20" t="s">
        <v>55</v>
      </c>
      <c r="H28" s="65" t="s">
        <v>56</v>
      </c>
      <c r="I28" s="20" t="s">
        <v>55</v>
      </c>
      <c r="J28" s="65" t="s">
        <v>56</v>
      </c>
      <c r="K28" s="22" t="s">
        <v>55</v>
      </c>
      <c r="L28" s="72" t="s">
        <v>56</v>
      </c>
    </row>
    <row r="29" spans="1:27" s="10" customFormat="1">
      <c r="A29" s="50" t="s">
        <v>0</v>
      </c>
      <c r="B29" s="51">
        <v>0</v>
      </c>
      <c r="C29" s="51" t="s">
        <v>1</v>
      </c>
      <c r="D29" s="23" t="s">
        <v>1</v>
      </c>
      <c r="E29" s="52">
        <v>0</v>
      </c>
      <c r="F29" s="68">
        <f>E29*$B29/100</f>
        <v>0</v>
      </c>
      <c r="G29" s="52">
        <v>0</v>
      </c>
      <c r="H29" s="68">
        <f>G29*$B29/100</f>
        <v>0</v>
      </c>
      <c r="I29" s="52">
        <v>0</v>
      </c>
      <c r="J29" s="68">
        <f>I29*$B29/100</f>
        <v>0</v>
      </c>
      <c r="K29" s="25">
        <f t="shared" ref="K29:K32" si="11">+E29+G29+I29</f>
        <v>0</v>
      </c>
      <c r="L29" s="67">
        <f t="shared" ref="L29:L32" si="12">+F29+H29+J29</f>
        <v>0</v>
      </c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10" customFormat="1">
      <c r="A30" s="50" t="s">
        <v>82</v>
      </c>
      <c r="B30" s="157">
        <v>0</v>
      </c>
      <c r="C30" s="51" t="s">
        <v>1</v>
      </c>
      <c r="D30" s="23" t="s">
        <v>1</v>
      </c>
      <c r="E30" s="52">
        <v>0</v>
      </c>
      <c r="F30" s="68">
        <f>E30*$B30/100</f>
        <v>0</v>
      </c>
      <c r="G30" s="52">
        <v>0</v>
      </c>
      <c r="H30" s="68">
        <f>G30*$B30/100</f>
        <v>0</v>
      </c>
      <c r="I30" s="52">
        <v>0</v>
      </c>
      <c r="J30" s="68">
        <f>I30*$B30/100</f>
        <v>0</v>
      </c>
      <c r="K30" s="25">
        <f t="shared" si="11"/>
        <v>0</v>
      </c>
      <c r="L30" s="67">
        <f t="shared" si="12"/>
        <v>0</v>
      </c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10" customFormat="1">
      <c r="A31" s="50" t="s">
        <v>115</v>
      </c>
      <c r="B31" s="157">
        <v>0</v>
      </c>
      <c r="C31" s="51" t="s">
        <v>1</v>
      </c>
      <c r="D31" s="23" t="s">
        <v>1</v>
      </c>
      <c r="E31" s="52">
        <v>0</v>
      </c>
      <c r="F31" s="68">
        <f>E31*$B31/100</f>
        <v>0</v>
      </c>
      <c r="G31" s="52">
        <v>0</v>
      </c>
      <c r="H31" s="68">
        <f>G31*$B31/100</f>
        <v>0</v>
      </c>
      <c r="I31" s="52">
        <v>0</v>
      </c>
      <c r="J31" s="68">
        <f>I31*$B31/100</f>
        <v>0</v>
      </c>
      <c r="K31" s="25">
        <f t="shared" si="11"/>
        <v>0</v>
      </c>
      <c r="L31" s="67">
        <f t="shared" si="12"/>
        <v>0</v>
      </c>
      <c r="M31" s="1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10" customFormat="1">
      <c r="A32" s="50" t="s">
        <v>116</v>
      </c>
      <c r="B32" s="157">
        <v>0</v>
      </c>
      <c r="C32" s="51" t="s">
        <v>1</v>
      </c>
      <c r="D32" s="23" t="s">
        <v>1</v>
      </c>
      <c r="E32" s="52">
        <v>0</v>
      </c>
      <c r="F32" s="68">
        <f>E32*$B32/100</f>
        <v>0</v>
      </c>
      <c r="G32" s="52">
        <v>0</v>
      </c>
      <c r="H32" s="68">
        <f>G32*$B32/100</f>
        <v>0</v>
      </c>
      <c r="I32" s="52">
        <v>0</v>
      </c>
      <c r="J32" s="68">
        <f>I32*$B32/100</f>
        <v>0</v>
      </c>
      <c r="K32" s="25">
        <f t="shared" si="11"/>
        <v>0</v>
      </c>
      <c r="L32" s="67">
        <f t="shared" si="12"/>
        <v>0</v>
      </c>
      <c r="M32" s="1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10" customFormat="1" ht="15.75" thickBot="1">
      <c r="A33" s="53" t="s">
        <v>18</v>
      </c>
      <c r="B33" s="59">
        <f>SUM(B29:B32)</f>
        <v>0</v>
      </c>
      <c r="C33" s="58"/>
      <c r="D33" s="55"/>
      <c r="E33" s="55"/>
      <c r="F33" s="57">
        <f>SUM(F29:F32)</f>
        <v>0</v>
      </c>
      <c r="G33" s="55" t="s">
        <v>81</v>
      </c>
      <c r="H33" s="57">
        <f>SUM(H29:H32)</f>
        <v>0</v>
      </c>
      <c r="I33" s="55" t="s">
        <v>1</v>
      </c>
      <c r="J33" s="57">
        <f>SUM(J29:J32)</f>
        <v>0</v>
      </c>
      <c r="K33" s="56"/>
      <c r="L33" s="73">
        <f>SUM(L29:L32)</f>
        <v>0</v>
      </c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thickTop="1"/>
    <row r="35" spans="1:27" ht="15.75">
      <c r="A35" s="43" t="s">
        <v>11</v>
      </c>
      <c r="B35" s="5"/>
      <c r="C35" s="5"/>
    </row>
    <row r="36" spans="1:27">
      <c r="A36" s="42"/>
      <c r="B36" s="42"/>
      <c r="C36" s="42"/>
      <c r="D36" s="15"/>
      <c r="E36" s="150" t="s">
        <v>112</v>
      </c>
      <c r="F36" s="151">
        <v>1.1000000000000001</v>
      </c>
      <c r="G36" s="150" t="s">
        <v>112</v>
      </c>
      <c r="H36" s="151">
        <v>2.1</v>
      </c>
      <c r="I36" s="150" t="s">
        <v>112</v>
      </c>
      <c r="J36" s="151">
        <v>3.1</v>
      </c>
      <c r="K36" s="233" t="s">
        <v>18</v>
      </c>
      <c r="L36" s="234"/>
    </row>
    <row r="37" spans="1:27">
      <c r="A37" s="16" t="s">
        <v>10</v>
      </c>
      <c r="B37" s="16" t="s">
        <v>44</v>
      </c>
      <c r="C37" s="16"/>
      <c r="D37" s="20"/>
      <c r="E37" s="20" t="s">
        <v>55</v>
      </c>
      <c r="F37" s="65" t="s">
        <v>56</v>
      </c>
      <c r="G37" s="20" t="s">
        <v>55</v>
      </c>
      <c r="H37" s="65" t="s">
        <v>56</v>
      </c>
      <c r="I37" s="20" t="s">
        <v>55</v>
      </c>
      <c r="J37" s="65" t="s">
        <v>56</v>
      </c>
      <c r="K37" s="22" t="s">
        <v>55</v>
      </c>
      <c r="L37" s="72" t="s">
        <v>56</v>
      </c>
    </row>
    <row r="38" spans="1:27">
      <c r="A38" s="6" t="s">
        <v>73</v>
      </c>
      <c r="B38" s="86">
        <v>0</v>
      </c>
      <c r="C38" s="44"/>
      <c r="D38" s="24"/>
      <c r="E38" s="52">
        <v>0</v>
      </c>
      <c r="F38" s="68">
        <f>E38*$B38/100</f>
        <v>0</v>
      </c>
      <c r="G38" s="52">
        <v>0</v>
      </c>
      <c r="H38" s="68">
        <f>G38*$B38/100</f>
        <v>0</v>
      </c>
      <c r="I38" s="52">
        <v>0</v>
      </c>
      <c r="J38" s="68">
        <f>I38*$B38/100</f>
        <v>0</v>
      </c>
      <c r="K38" s="25">
        <f t="shared" ref="K38:K42" si="13">+E38+G38+I38</f>
        <v>0</v>
      </c>
      <c r="L38" s="67">
        <f t="shared" ref="L38:L42" si="14">+F38+H38+J38</f>
        <v>0</v>
      </c>
    </row>
    <row r="39" spans="1:27">
      <c r="A39" s="6" t="s">
        <v>74</v>
      </c>
      <c r="B39" s="44">
        <v>0</v>
      </c>
      <c r="C39" s="44"/>
      <c r="D39" s="24"/>
      <c r="E39" s="52">
        <v>0</v>
      </c>
      <c r="F39" s="68">
        <f>E39*$B39/100</f>
        <v>0</v>
      </c>
      <c r="G39" s="52">
        <v>0</v>
      </c>
      <c r="H39" s="68">
        <f>G39*$B39/100</f>
        <v>0</v>
      </c>
      <c r="I39" s="52">
        <v>0</v>
      </c>
      <c r="J39" s="68">
        <f>I39*$B39/100</f>
        <v>0</v>
      </c>
      <c r="K39" s="25">
        <f t="shared" si="13"/>
        <v>0</v>
      </c>
      <c r="L39" s="67">
        <f t="shared" si="14"/>
        <v>0</v>
      </c>
    </row>
    <row r="40" spans="1:27">
      <c r="A40" s="6" t="s">
        <v>75</v>
      </c>
      <c r="B40" s="44">
        <v>25000</v>
      </c>
      <c r="C40" s="44"/>
      <c r="D40" s="24"/>
      <c r="E40" s="52">
        <v>55</v>
      </c>
      <c r="F40" s="68">
        <f>E40*$B40/100</f>
        <v>13750</v>
      </c>
      <c r="G40" s="52">
        <v>35</v>
      </c>
      <c r="H40" s="68">
        <f>G40*$B40/100</f>
        <v>8750</v>
      </c>
      <c r="I40" s="52">
        <v>10</v>
      </c>
      <c r="J40" s="68">
        <f>I40*$B40/100</f>
        <v>2500</v>
      </c>
      <c r="K40" s="25">
        <f t="shared" si="13"/>
        <v>100</v>
      </c>
      <c r="L40" s="67">
        <f t="shared" si="14"/>
        <v>25000</v>
      </c>
    </row>
    <row r="41" spans="1:27">
      <c r="A41" s="6" t="s">
        <v>151</v>
      </c>
      <c r="B41" s="45">
        <f>+rev_exp!G21</f>
        <v>30000</v>
      </c>
      <c r="C41" s="45"/>
      <c r="D41" s="24"/>
      <c r="E41" s="52">
        <v>100</v>
      </c>
      <c r="F41" s="68">
        <f>E41*$B41/100</f>
        <v>30000</v>
      </c>
      <c r="G41" s="52">
        <v>0</v>
      </c>
      <c r="H41" s="68">
        <f>G41*$B41/100</f>
        <v>0</v>
      </c>
      <c r="I41" s="52">
        <v>0</v>
      </c>
      <c r="J41" s="68">
        <f>I41*$B41/100</f>
        <v>0</v>
      </c>
      <c r="K41" s="25">
        <f t="shared" si="13"/>
        <v>100</v>
      </c>
      <c r="L41" s="67">
        <f t="shared" si="14"/>
        <v>30000</v>
      </c>
    </row>
    <row r="42" spans="1:27">
      <c r="A42" s="6" t="s">
        <v>217</v>
      </c>
      <c r="B42" s="45">
        <f>+rev_exp!G22</f>
        <v>2500</v>
      </c>
      <c r="C42" s="45"/>
      <c r="D42" s="24"/>
      <c r="E42" s="52">
        <v>100</v>
      </c>
      <c r="F42" s="68">
        <f>E42*$B42/100</f>
        <v>2500</v>
      </c>
      <c r="G42" s="52">
        <v>0</v>
      </c>
      <c r="H42" s="68">
        <f>G42*$B42/100</f>
        <v>0</v>
      </c>
      <c r="I42" s="52">
        <v>0</v>
      </c>
      <c r="J42" s="68">
        <f>I42*$B42/100</f>
        <v>0</v>
      </c>
      <c r="K42" s="25">
        <f t="shared" si="13"/>
        <v>100</v>
      </c>
      <c r="L42" s="67">
        <f t="shared" si="14"/>
        <v>2500</v>
      </c>
    </row>
    <row r="43" spans="1:27" ht="15.75" thickBot="1">
      <c r="A43" s="53" t="s">
        <v>18</v>
      </c>
      <c r="B43" s="158">
        <f>SUM(B38:B42)</f>
        <v>57500</v>
      </c>
      <c r="C43" s="54"/>
      <c r="D43" s="55"/>
      <c r="E43" s="55"/>
      <c r="F43" s="57">
        <f>SUM(F38:F42)</f>
        <v>46250</v>
      </c>
      <c r="G43" s="55" t="s">
        <v>22</v>
      </c>
      <c r="H43" s="57">
        <f>SUM(H38:H42)</f>
        <v>8750</v>
      </c>
      <c r="I43" s="55" t="s">
        <v>1</v>
      </c>
      <c r="J43" s="57">
        <f>SUM(J38:J42)</f>
        <v>2500</v>
      </c>
      <c r="K43" s="56"/>
      <c r="L43" s="73">
        <f>SUM(L38:L42)</f>
        <v>57500</v>
      </c>
    </row>
    <row r="44" spans="1:27" s="4" customFormat="1" ht="16.5" thickTop="1">
      <c r="A44" s="99"/>
      <c r="B44" s="46"/>
      <c r="C44" s="46"/>
      <c r="D44" s="47"/>
      <c r="E44" s="47"/>
      <c r="F44" s="45"/>
      <c r="G44" s="49"/>
      <c r="H44" s="69"/>
      <c r="I44" s="49"/>
      <c r="J44" s="69"/>
      <c r="K44" s="48"/>
      <c r="L44" s="48"/>
      <c r="M44" s="47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>
      <c r="A45" s="43" t="s">
        <v>63</v>
      </c>
      <c r="B45" s="5"/>
      <c r="C45" s="5"/>
    </row>
    <row r="46" spans="1:27">
      <c r="A46" s="42"/>
      <c r="B46" s="42"/>
      <c r="C46" s="42"/>
      <c r="D46" s="15"/>
      <c r="E46" s="150" t="s">
        <v>112</v>
      </c>
      <c r="F46" s="151">
        <v>1.1000000000000001</v>
      </c>
      <c r="G46" s="150" t="s">
        <v>112</v>
      </c>
      <c r="H46" s="151">
        <v>2.1</v>
      </c>
      <c r="I46" s="150" t="s">
        <v>112</v>
      </c>
      <c r="J46" s="151">
        <v>3.1</v>
      </c>
      <c r="K46" s="233" t="s">
        <v>18</v>
      </c>
      <c r="L46" s="234"/>
    </row>
    <row r="47" spans="1:27">
      <c r="A47" s="16" t="s">
        <v>10</v>
      </c>
      <c r="B47" s="16" t="s">
        <v>44</v>
      </c>
      <c r="C47" s="16"/>
      <c r="D47" s="20"/>
      <c r="E47" s="20" t="s">
        <v>55</v>
      </c>
      <c r="F47" s="65" t="s">
        <v>56</v>
      </c>
      <c r="G47" s="21" t="s">
        <v>56</v>
      </c>
      <c r="H47" s="70" t="s">
        <v>55</v>
      </c>
      <c r="I47" s="20" t="s">
        <v>55</v>
      </c>
      <c r="J47" s="65" t="s">
        <v>56</v>
      </c>
      <c r="K47" s="22" t="s">
        <v>55</v>
      </c>
      <c r="L47" s="72" t="s">
        <v>56</v>
      </c>
    </row>
    <row r="48" spans="1:27" s="6" customFormat="1">
      <c r="A48" t="s">
        <v>117</v>
      </c>
      <c r="B48" s="86">
        <v>10000</v>
      </c>
      <c r="C48" s="86"/>
      <c r="D48" s="52"/>
      <c r="E48" s="52">
        <v>100</v>
      </c>
      <c r="F48" s="68">
        <f>E48*$B48/100</f>
        <v>10000</v>
      </c>
      <c r="G48" s="52">
        <v>0</v>
      </c>
      <c r="H48" s="68">
        <f>G48*$B48/100</f>
        <v>0</v>
      </c>
      <c r="I48" s="52">
        <v>0</v>
      </c>
      <c r="J48" s="68">
        <f>I48*$B48/100</f>
        <v>0</v>
      </c>
      <c r="K48" s="25">
        <f t="shared" ref="K48" si="15">+E48+G48+I48</f>
        <v>100</v>
      </c>
      <c r="L48" s="67">
        <f t="shared" ref="L48" si="16">+F48+H48+J48</f>
        <v>10000</v>
      </c>
      <c r="M48" s="13"/>
    </row>
    <row r="49" spans="1:12" ht="15.75" thickBot="1">
      <c r="A49" s="53" t="s">
        <v>18</v>
      </c>
      <c r="B49" s="59">
        <f>+B48</f>
        <v>10000</v>
      </c>
      <c r="C49" s="58"/>
      <c r="D49" s="55"/>
      <c r="E49" s="55"/>
      <c r="F49" s="57">
        <f>SUM(F48)</f>
        <v>10000</v>
      </c>
      <c r="G49" s="55" t="s">
        <v>22</v>
      </c>
      <c r="H49" s="57">
        <f>SUM(H48)</f>
        <v>0</v>
      </c>
      <c r="I49" s="55" t="s">
        <v>1</v>
      </c>
      <c r="J49" s="57">
        <f>SUM(J48)</f>
        <v>0</v>
      </c>
      <c r="K49" s="56"/>
      <c r="L49" s="73">
        <f>SUM(L48)</f>
        <v>10000</v>
      </c>
    </row>
    <row r="50" spans="1:12" ht="15.75" thickTop="1"/>
    <row r="51" spans="1:12">
      <c r="A51" s="6" t="s">
        <v>18</v>
      </c>
      <c r="B51" s="33">
        <f>+D16+B24+B33+B43+B49</f>
        <v>233729.29749999996</v>
      </c>
    </row>
    <row r="53" spans="1:12">
      <c r="B53" s="33"/>
      <c r="C53" s="33"/>
    </row>
  </sheetData>
  <mergeCells count="6">
    <mergeCell ref="K46:L46"/>
    <mergeCell ref="K2:L2"/>
    <mergeCell ref="B2:D2"/>
    <mergeCell ref="K19:L19"/>
    <mergeCell ref="K27:L27"/>
    <mergeCell ref="K36:L36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view="pageLayout" zoomScaleNormal="100" workbookViewId="0">
      <selection activeCell="E8" sqref="E8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5" customFormat="1">
      <c r="B1" s="236" t="s">
        <v>42</v>
      </c>
      <c r="C1" s="236"/>
      <c r="D1" s="236"/>
      <c r="E1" s="236"/>
      <c r="F1" s="76"/>
      <c r="G1" s="76"/>
      <c r="H1" s="76"/>
      <c r="I1" s="76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7"/>
      <c r="C3" s="78"/>
      <c r="D3" s="78"/>
      <c r="E3" s="78"/>
      <c r="F3" s="78"/>
      <c r="G3" s="78"/>
      <c r="H3" s="78" t="s">
        <v>57</v>
      </c>
      <c r="I3" s="79" t="s">
        <v>58</v>
      </c>
    </row>
    <row r="4" spans="2:15">
      <c r="B4" s="80" t="s">
        <v>43</v>
      </c>
      <c r="C4" s="81" t="s">
        <v>59</v>
      </c>
      <c r="D4" s="81" t="s">
        <v>60</v>
      </c>
      <c r="E4" s="81" t="s">
        <v>61</v>
      </c>
      <c r="F4" s="81" t="s">
        <v>62</v>
      </c>
      <c r="G4" s="81" t="s">
        <v>71</v>
      </c>
      <c r="H4" s="81" t="s">
        <v>18</v>
      </c>
      <c r="I4" s="82" t="s">
        <v>72</v>
      </c>
    </row>
    <row r="5" spans="2:15">
      <c r="B5" s="83">
        <f>+'5.Budget_Items'!F2</f>
        <v>1.1000000000000001</v>
      </c>
      <c r="C5" s="100">
        <f>+'5.Budget_Items'!F16</f>
        <v>99227.306917000009</v>
      </c>
      <c r="D5" s="100">
        <f>+'5.Budget_Items'!F24</f>
        <v>0</v>
      </c>
      <c r="E5" s="100">
        <f>+'5.Budget_Items'!F33</f>
        <v>0</v>
      </c>
      <c r="F5" s="100">
        <f>+'5.Budget_Items'!F43</f>
        <v>46250</v>
      </c>
      <c r="G5" s="100">
        <f>+'5.Budget_Items'!F49</f>
        <v>10000</v>
      </c>
      <c r="H5" s="101">
        <f>SUM(C5:G5)</f>
        <v>155477.30691700001</v>
      </c>
      <c r="I5" s="84">
        <f>SUM(H5/H8)</f>
        <v>0.6652024738875536</v>
      </c>
    </row>
    <row r="6" spans="2:15">
      <c r="B6" s="83">
        <f>+'5.Budget_Items'!H2</f>
        <v>2.1</v>
      </c>
      <c r="C6" s="152">
        <f>+'5.Budget_Items'!H16</f>
        <v>49180.431666999997</v>
      </c>
      <c r="D6" s="153">
        <f>+'5.Budget_Items'!H24</f>
        <v>0</v>
      </c>
      <c r="E6" s="153">
        <f>+'5.Budget_Items'!H33</f>
        <v>0</v>
      </c>
      <c r="F6" s="153">
        <f>+'5.Budget_Items'!H43</f>
        <v>8750</v>
      </c>
      <c r="G6" s="153">
        <f>+'5.Budget_Items'!H49</f>
        <v>0</v>
      </c>
      <c r="H6" s="154">
        <f t="shared" ref="H6" si="0">SUM(C6:G6)</f>
        <v>57930.431666999997</v>
      </c>
      <c r="I6" s="84">
        <f>SUM(H6/H8)</f>
        <v>0.24785267523854168</v>
      </c>
    </row>
    <row r="7" spans="2:15">
      <c r="B7" s="83">
        <f>+'5.Budget_Items'!J2</f>
        <v>3.1</v>
      </c>
      <c r="C7" s="152">
        <f>+'5.Budget_Items'!J16</f>
        <v>17821.558916000002</v>
      </c>
      <c r="D7" s="153">
        <f>+'5.Budget_Items'!J24</f>
        <v>0</v>
      </c>
      <c r="E7" s="153">
        <f>+'5.Budget_Items'!J33</f>
        <v>0</v>
      </c>
      <c r="F7" s="153">
        <f>+'5.Budget_Items'!J43</f>
        <v>2500</v>
      </c>
      <c r="G7" s="153">
        <f>+'5.Budget_Items'!J49</f>
        <v>0</v>
      </c>
      <c r="H7" s="154">
        <f t="shared" ref="H7" si="1">SUM(C7:G7)</f>
        <v>20321.558916000002</v>
      </c>
      <c r="I7" s="84">
        <f>SUM(H7/H8)</f>
        <v>8.6944850873904675E-2</v>
      </c>
    </row>
    <row r="8" spans="2:15">
      <c r="B8" s="85" t="s">
        <v>57</v>
      </c>
      <c r="C8" s="100">
        <f>SUM(C5:C7)</f>
        <v>166229.29750000002</v>
      </c>
      <c r="D8" s="100">
        <f>SUM(D1:D7)</f>
        <v>0</v>
      </c>
      <c r="E8" s="100">
        <f>SUM(E5:E7)</f>
        <v>0</v>
      </c>
      <c r="F8" s="100">
        <f>SUM(F5:F7)</f>
        <v>57500</v>
      </c>
      <c r="G8" s="100">
        <f>SUM(G1:G7)</f>
        <v>10000</v>
      </c>
      <c r="H8" s="101">
        <f>SUM(H5:H7)</f>
        <v>233729.29750000002</v>
      </c>
      <c r="I8" s="84">
        <f>SUM(I5:I7)</f>
        <v>1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22" sqref="G22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85</v>
      </c>
    </row>
    <row r="2" spans="1:6">
      <c r="A2" t="s">
        <v>86</v>
      </c>
    </row>
    <row r="3" spans="1:6">
      <c r="A3" t="s">
        <v>113</v>
      </c>
    </row>
    <row r="5" spans="1:6">
      <c r="C5" t="s">
        <v>87</v>
      </c>
      <c r="D5" t="s">
        <v>88</v>
      </c>
      <c r="F5" s="155">
        <v>2017</v>
      </c>
    </row>
    <row r="6" spans="1:6">
      <c r="D6" t="s">
        <v>33</v>
      </c>
      <c r="F6" s="103">
        <f>'5.Budget_Items'!C16</f>
        <v>140062.5</v>
      </c>
    </row>
    <row r="7" spans="1:6">
      <c r="D7" t="s">
        <v>89</v>
      </c>
      <c r="F7" s="156">
        <f>'4.Fringe_Benefits'!B14</f>
        <v>10504.6875</v>
      </c>
    </row>
    <row r="8" spans="1:6">
      <c r="D8" t="s">
        <v>90</v>
      </c>
      <c r="F8" s="156">
        <f>'4.Fringe_Benefits'!E14</f>
        <v>2239</v>
      </c>
    </row>
    <row r="9" spans="1:6">
      <c r="D9" t="s">
        <v>91</v>
      </c>
      <c r="F9" s="156">
        <f>'4.Fringe_Benefits'!F14</f>
        <v>2471.2350000000006</v>
      </c>
    </row>
    <row r="10" spans="1:6">
      <c r="D10" t="s">
        <v>14</v>
      </c>
      <c r="F10" s="156">
        <f>'4.Fringe_Benefits'!C14</f>
        <v>3751.875</v>
      </c>
    </row>
    <row r="11" spans="1:6">
      <c r="D11" t="s">
        <v>15</v>
      </c>
      <c r="F11" s="156">
        <f>'4.Fringe_Benefits'!D14</f>
        <v>7200</v>
      </c>
    </row>
    <row r="12" spans="1:6">
      <c r="F12" s="156">
        <f>SUM(F6:F11)</f>
        <v>166229.29749999999</v>
      </c>
    </row>
    <row r="13" spans="1:6">
      <c r="F13" s="156"/>
    </row>
    <row r="14" spans="1:6">
      <c r="D14" t="s">
        <v>5</v>
      </c>
      <c r="F14" s="156">
        <f>+'5.Budget_Items'!L24</f>
        <v>0</v>
      </c>
    </row>
    <row r="15" spans="1:6">
      <c r="D15" t="s">
        <v>9</v>
      </c>
      <c r="F15" s="156">
        <f>+'5.Budget_Items'!L33</f>
        <v>0</v>
      </c>
    </row>
    <row r="16" spans="1:6">
      <c r="F16" s="156"/>
    </row>
    <row r="17" spans="4:8">
      <c r="D17" s="6" t="s">
        <v>73</v>
      </c>
      <c r="F17" s="156">
        <f>+'5.Budget_Items'!L38</f>
        <v>0</v>
      </c>
    </row>
    <row r="18" spans="4:8">
      <c r="D18" s="6" t="s">
        <v>74</v>
      </c>
      <c r="F18" s="156">
        <f>+'5.Budget_Items'!L39</f>
        <v>0</v>
      </c>
    </row>
    <row r="19" spans="4:8">
      <c r="D19" s="6" t="s">
        <v>75</v>
      </c>
      <c r="F19" s="156">
        <f>+'5.Budget_Items'!L40</f>
        <v>25000</v>
      </c>
    </row>
    <row r="20" spans="4:8">
      <c r="D20" s="6" t="s">
        <v>84</v>
      </c>
      <c r="F20" s="156">
        <f>+'5.Budget_Items'!L41</f>
        <v>30000</v>
      </c>
    </row>
    <row r="21" spans="4:8">
      <c r="D21" s="6" t="s">
        <v>217</v>
      </c>
      <c r="F21" s="156">
        <f>+rev_exp!G22</f>
        <v>2500</v>
      </c>
    </row>
    <row r="22" spans="4:8">
      <c r="F22" s="156"/>
    </row>
    <row r="23" spans="4:8">
      <c r="D23" s="97" t="s">
        <v>218</v>
      </c>
      <c r="F23" s="156">
        <f>+'5.Budget_Items'!L49</f>
        <v>10000</v>
      </c>
    </row>
    <row r="24" spans="4:8">
      <c r="F24" s="103">
        <f>SUM(F12:F23)</f>
        <v>233729.29749999999</v>
      </c>
    </row>
    <row r="25" spans="4:8">
      <c r="H25" s="10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rev_exp</vt:lpstr>
      <vt:lpstr>1.Directions</vt:lpstr>
      <vt:lpstr>2.Performance_Items</vt:lpstr>
      <vt:lpstr>3.Pay Level</vt:lpstr>
      <vt:lpstr>4.Fringe_Benefits</vt:lpstr>
      <vt:lpstr>5.Budget_Items</vt:lpstr>
      <vt:lpstr>Activity Cost</vt:lpstr>
      <vt:lpstr>Pay Levels</vt:lpstr>
      <vt:lpstr>line item</vt:lpstr>
      <vt:lpstr>Summary</vt:lpstr>
      <vt:lpstr>'2.Performance_Items'!Print_Area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Information Technology</cp:lastModifiedBy>
  <cp:lastPrinted>2015-12-09T01:27:31Z</cp:lastPrinted>
  <dcterms:created xsi:type="dcterms:W3CDTF">2010-04-21T01:18:24Z</dcterms:created>
  <dcterms:modified xsi:type="dcterms:W3CDTF">2015-12-09T01:28:03Z</dcterms:modified>
  <cp:category>Budget</cp:category>
  <cp:contentStatus>New</cp:contentStatus>
</cp:coreProperties>
</file>